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0" yWindow="0" windowWidth="20730" windowHeight="11760" tabRatio="796"/>
  </bookViews>
  <sheets>
    <sheet name="Introduction and Instructions" sheetId="8" r:id="rId1"/>
    <sheet name="Fuel Prices excl. VAT" sheetId="2" r:id="rId2"/>
    <sheet name="Appliance Prices" sheetId="15" r:id="rId3"/>
    <sheet name="Utilisation by Sector" sheetId="20" r:id="rId4"/>
    <sheet name="W.F. at Appliance Level" sheetId="21" r:id="rId5"/>
    <sheet name="W.F. End-use Level" sheetId="22" r:id="rId6"/>
    <sheet name="W.F. at Subsector Level" sheetId="23" r:id="rId7"/>
    <sheet name="W.F. at Sector Level" sheetId="24" r:id="rId8"/>
    <sheet name="UCM Residential" sheetId="3" r:id="rId9"/>
    <sheet name="UCM Services Protected" sheetId="4" r:id="rId10"/>
    <sheet name="UCM Services Non-Protected " sheetId="5" r:id="rId11"/>
    <sheet name="UCM Power" sheetId="7" r:id="rId12"/>
    <sheet name="fuel UCM Industrial" sheetId="6" r:id="rId13"/>
    <sheet name="feedstock UCM Industrial" sheetId="18" r:id="rId14"/>
    <sheet name="fuel UCM Sectors and MS" sheetId="17" r:id="rId15"/>
    <sheet name="Total UCM Sectors and MS " sheetId="19" r:id="rId16"/>
  </sheets>
  <definedNames>
    <definedName name="_xlnm._FilterDatabase" localSheetId="10" hidden="1">'UCM Services Non-Protected '!$A$3:$BK$29</definedName>
    <definedName name="_xlnm._FilterDatabase" localSheetId="9" hidden="1">'UCM Services Protected'!$A$3:$DP$29</definedName>
  </definedNames>
  <calcPr calcId="145621"/>
</workbook>
</file>

<file path=xl/calcChain.xml><?xml version="1.0" encoding="utf-8"?>
<calcChain xmlns="http://schemas.openxmlformats.org/spreadsheetml/2006/main">
  <c r="C30" i="6" l="1"/>
  <c r="C14" i="6" s="1"/>
  <c r="C20" i="6"/>
  <c r="B14" i="6"/>
  <c r="B30" i="6"/>
  <c r="F33" i="19" l="1"/>
  <c r="F32" i="19"/>
  <c r="F31" i="19"/>
  <c r="F33" i="17"/>
  <c r="F32" i="17"/>
  <c r="F31" i="17"/>
  <c r="C30" i="21" l="1"/>
  <c r="D30" i="21"/>
  <c r="E30" i="21"/>
  <c r="F30" i="21"/>
  <c r="G30" i="21"/>
  <c r="H30" i="21"/>
  <c r="I30" i="21"/>
  <c r="J30" i="21"/>
  <c r="K30" i="21"/>
  <c r="L30" i="21"/>
  <c r="M30" i="21"/>
  <c r="N30" i="21"/>
  <c r="O30" i="21"/>
  <c r="P30" i="21"/>
  <c r="Q30" i="21"/>
  <c r="R30" i="21"/>
  <c r="S30" i="21"/>
  <c r="T30" i="21"/>
  <c r="U30" i="21"/>
  <c r="V30" i="21"/>
  <c r="W30" i="21"/>
  <c r="X30" i="21"/>
  <c r="Y30" i="21"/>
  <c r="Z30" i="21"/>
  <c r="AA30" i="21"/>
  <c r="AB30" i="21"/>
  <c r="AC30" i="21"/>
  <c r="AD30" i="21"/>
  <c r="AE30" i="21"/>
  <c r="B30" i="21"/>
  <c r="I30" i="23" l="1"/>
  <c r="J30" i="23"/>
  <c r="K30" i="23"/>
  <c r="L30" i="23"/>
  <c r="H30" i="23"/>
  <c r="G30" i="23"/>
  <c r="F30" i="23"/>
  <c r="E30" i="23"/>
  <c r="D30" i="23"/>
  <c r="C30" i="23"/>
  <c r="B30" i="23"/>
  <c r="F31" i="24"/>
  <c r="G31" i="24"/>
  <c r="H31" i="24"/>
  <c r="I31" i="24"/>
  <c r="C31" i="24"/>
  <c r="D31" i="24"/>
  <c r="E31" i="24"/>
  <c r="B31" i="24"/>
  <c r="G25" i="18" l="1"/>
  <c r="H25" i="18" s="1"/>
  <c r="H24" i="18"/>
  <c r="G24" i="18"/>
  <c r="G23" i="18"/>
  <c r="H23" i="18" s="1"/>
  <c r="H22" i="18"/>
  <c r="G22" i="18"/>
  <c r="G21" i="18"/>
  <c r="H21" i="18" s="1"/>
  <c r="H20" i="18"/>
  <c r="G20" i="18"/>
  <c r="G19" i="18"/>
  <c r="H19" i="18" s="1"/>
  <c r="H18" i="18"/>
  <c r="G18" i="18"/>
  <c r="G17" i="18"/>
  <c r="H17" i="18" s="1"/>
  <c r="H16" i="18"/>
  <c r="G16" i="18"/>
  <c r="G15" i="18"/>
  <c r="H15" i="18" s="1"/>
  <c r="H14" i="18"/>
  <c r="G14" i="18"/>
  <c r="G13" i="18"/>
  <c r="H13" i="18" s="1"/>
  <c r="H12" i="18"/>
  <c r="G12" i="18"/>
  <c r="G10" i="18"/>
  <c r="H10" i="18" s="1"/>
  <c r="H9" i="18"/>
  <c r="G9" i="18"/>
  <c r="G8" i="18"/>
  <c r="H8" i="18" s="1"/>
  <c r="H7" i="18"/>
  <c r="G7" i="18"/>
  <c r="G4" i="18"/>
  <c r="H4" i="18" s="1"/>
  <c r="O29" i="6"/>
  <c r="F29" i="6"/>
  <c r="E29" i="6"/>
  <c r="D29" i="6"/>
  <c r="F28" i="6"/>
  <c r="H28" i="6" s="1"/>
  <c r="E28" i="6"/>
  <c r="C28" i="7" s="1"/>
  <c r="D28" i="6"/>
  <c r="N27" i="6"/>
  <c r="J27" i="6"/>
  <c r="F27" i="6"/>
  <c r="D27" i="6"/>
  <c r="B27" i="7" s="1"/>
  <c r="F26" i="6"/>
  <c r="E26" i="6"/>
  <c r="D26" i="6"/>
  <c r="B26" i="7" s="1"/>
  <c r="N25" i="6"/>
  <c r="F25" i="6"/>
  <c r="E25" i="6"/>
  <c r="G25" i="6" s="1"/>
  <c r="D25" i="6"/>
  <c r="F24" i="6"/>
  <c r="H24" i="6" s="1"/>
  <c r="E24" i="6"/>
  <c r="G24" i="6" s="1"/>
  <c r="D24" i="6"/>
  <c r="O23" i="6"/>
  <c r="N23" i="6"/>
  <c r="H23" i="6"/>
  <c r="F23" i="6"/>
  <c r="E23" i="6"/>
  <c r="G23" i="6" s="1"/>
  <c r="D23" i="6"/>
  <c r="F22" i="6"/>
  <c r="E22" i="6"/>
  <c r="C22" i="7" s="1"/>
  <c r="D22" i="6"/>
  <c r="B22" i="7" s="1"/>
  <c r="F21" i="6"/>
  <c r="D21" i="6"/>
  <c r="B21" i="7" s="1"/>
  <c r="F20" i="6"/>
  <c r="E20" i="6"/>
  <c r="C20" i="7" s="1"/>
  <c r="D20" i="6"/>
  <c r="B20" i="7" s="1"/>
  <c r="F19" i="6"/>
  <c r="E19" i="6"/>
  <c r="D19" i="6"/>
  <c r="G19" i="6" s="1"/>
  <c r="F18" i="6"/>
  <c r="E18" i="6"/>
  <c r="C18" i="7" s="1"/>
  <c r="D18" i="6"/>
  <c r="H17" i="6"/>
  <c r="F17" i="6"/>
  <c r="E17" i="6"/>
  <c r="G17" i="6" s="1"/>
  <c r="D17" i="6"/>
  <c r="F16" i="6"/>
  <c r="D16" i="6"/>
  <c r="B16" i="7" s="1"/>
  <c r="F15" i="6"/>
  <c r="E15" i="6"/>
  <c r="C15" i="7" s="1"/>
  <c r="D15" i="6"/>
  <c r="B15" i="7" s="1"/>
  <c r="F14" i="6"/>
  <c r="E14" i="6"/>
  <c r="D14" i="6"/>
  <c r="G14" i="6" s="1"/>
  <c r="F13" i="6"/>
  <c r="H13" i="6" s="1"/>
  <c r="E13" i="6"/>
  <c r="C13" i="7" s="1"/>
  <c r="D13" i="6"/>
  <c r="F12" i="6"/>
  <c r="E12" i="6"/>
  <c r="C12" i="7" s="1"/>
  <c r="D12" i="6"/>
  <c r="F11" i="6"/>
  <c r="E11" i="6"/>
  <c r="D11" i="6"/>
  <c r="G11" i="6" s="1"/>
  <c r="F10" i="6"/>
  <c r="H10" i="6" s="1"/>
  <c r="E10" i="6"/>
  <c r="D10" i="6"/>
  <c r="B10" i="7" s="1"/>
  <c r="F9" i="6"/>
  <c r="H9" i="6" s="1"/>
  <c r="E9" i="6"/>
  <c r="D9" i="6"/>
  <c r="B9" i="7" s="1"/>
  <c r="F8" i="6"/>
  <c r="H8" i="6" s="1"/>
  <c r="D8" i="6"/>
  <c r="N7" i="6"/>
  <c r="F7" i="6"/>
  <c r="E7" i="6"/>
  <c r="C7" i="7" s="1"/>
  <c r="D7" i="6"/>
  <c r="B7" i="7" s="1"/>
  <c r="F6" i="6"/>
  <c r="D6" i="6"/>
  <c r="B6" i="7" s="1"/>
  <c r="F5" i="6"/>
  <c r="E5" i="6"/>
  <c r="G5" i="6" s="1"/>
  <c r="D5" i="6"/>
  <c r="B5" i="7" s="1"/>
  <c r="F4" i="6"/>
  <c r="H4" i="6" s="1"/>
  <c r="E4" i="6"/>
  <c r="D4" i="6"/>
  <c r="B29" i="7"/>
  <c r="B28" i="7"/>
  <c r="B25" i="7"/>
  <c r="B24" i="7"/>
  <c r="B23" i="7"/>
  <c r="C19" i="7"/>
  <c r="B18" i="7"/>
  <c r="B17" i="7"/>
  <c r="C14" i="7"/>
  <c r="B13" i="7"/>
  <c r="B12" i="7"/>
  <c r="C11" i="7"/>
  <c r="C10" i="7"/>
  <c r="B8" i="7"/>
  <c r="G6" i="7"/>
  <c r="F6" i="7"/>
  <c r="J4" i="7"/>
  <c r="B4" i="7"/>
  <c r="L29" i="5"/>
  <c r="K29" i="5"/>
  <c r="J29" i="5"/>
  <c r="I29" i="5"/>
  <c r="H29" i="5"/>
  <c r="BB29" i="5" s="1"/>
  <c r="G29" i="5"/>
  <c r="F29" i="5"/>
  <c r="E29" i="5"/>
  <c r="D29" i="5"/>
  <c r="C29" i="5"/>
  <c r="B29" i="5"/>
  <c r="K28" i="5"/>
  <c r="J28" i="5"/>
  <c r="I28" i="5"/>
  <c r="H28" i="5"/>
  <c r="V28" i="5" s="1"/>
  <c r="E28" i="5"/>
  <c r="D28" i="5"/>
  <c r="C28" i="5"/>
  <c r="B28" i="5"/>
  <c r="L27" i="5"/>
  <c r="K27" i="5"/>
  <c r="J27" i="5"/>
  <c r="I27" i="5"/>
  <c r="H27" i="5"/>
  <c r="G27" i="5"/>
  <c r="F27" i="5"/>
  <c r="E27" i="5"/>
  <c r="D27" i="5"/>
  <c r="AX27" i="5" s="1"/>
  <c r="C27" i="5"/>
  <c r="B27" i="5"/>
  <c r="L26" i="5"/>
  <c r="K26" i="5"/>
  <c r="J26" i="5"/>
  <c r="I26" i="5"/>
  <c r="E26" i="5"/>
  <c r="D26" i="5"/>
  <c r="AX26" i="5" s="1"/>
  <c r="C26" i="5"/>
  <c r="B26" i="5"/>
  <c r="K25" i="5"/>
  <c r="J25" i="5"/>
  <c r="I25" i="5"/>
  <c r="H25" i="5"/>
  <c r="G25" i="5"/>
  <c r="E25" i="5"/>
  <c r="D25" i="5"/>
  <c r="C25" i="5"/>
  <c r="B25" i="5"/>
  <c r="K24" i="5"/>
  <c r="N24" i="5" s="1"/>
  <c r="J24" i="5"/>
  <c r="I24" i="5"/>
  <c r="H24" i="5"/>
  <c r="G24" i="5"/>
  <c r="E24" i="5"/>
  <c r="D24" i="5"/>
  <c r="R24" i="5" s="1"/>
  <c r="C24" i="5"/>
  <c r="B24" i="5"/>
  <c r="P24" i="5" s="1"/>
  <c r="L23" i="5"/>
  <c r="K23" i="5"/>
  <c r="J23" i="5"/>
  <c r="I23" i="5"/>
  <c r="H23" i="5"/>
  <c r="G23" i="5"/>
  <c r="F23" i="5"/>
  <c r="E23" i="5"/>
  <c r="AJ23" i="5" s="1"/>
  <c r="D23" i="5"/>
  <c r="C23" i="5"/>
  <c r="B23" i="5"/>
  <c r="L22" i="5"/>
  <c r="K22" i="5"/>
  <c r="J22" i="5"/>
  <c r="I22" i="5"/>
  <c r="O22" i="5" s="1"/>
  <c r="G22" i="5"/>
  <c r="F22" i="5"/>
  <c r="AK22" i="5" s="1"/>
  <c r="E22" i="5"/>
  <c r="D22" i="5"/>
  <c r="AI22" i="5" s="1"/>
  <c r="C22" i="5"/>
  <c r="B22" i="5"/>
  <c r="L21" i="5"/>
  <c r="K21" i="5"/>
  <c r="J21" i="5"/>
  <c r="I21" i="5"/>
  <c r="H21" i="5"/>
  <c r="G21" i="5"/>
  <c r="BA21" i="5" s="1"/>
  <c r="F21" i="5"/>
  <c r="E21" i="5"/>
  <c r="D21" i="5"/>
  <c r="C21" i="5"/>
  <c r="B21" i="5"/>
  <c r="L20" i="5"/>
  <c r="K20" i="5"/>
  <c r="J20" i="5"/>
  <c r="I20" i="5"/>
  <c r="H20" i="5"/>
  <c r="F20" i="5"/>
  <c r="E20" i="5"/>
  <c r="D20" i="5"/>
  <c r="C20" i="5"/>
  <c r="B20" i="5"/>
  <c r="L19" i="5"/>
  <c r="O19" i="5" s="1"/>
  <c r="K19" i="5"/>
  <c r="N19" i="5" s="1"/>
  <c r="J19" i="5"/>
  <c r="M19" i="5" s="1"/>
  <c r="I19" i="5"/>
  <c r="H19" i="5"/>
  <c r="BB19" i="5" s="1"/>
  <c r="G19" i="5"/>
  <c r="F19" i="5"/>
  <c r="AK19" i="5" s="1"/>
  <c r="E19" i="5"/>
  <c r="D19" i="5"/>
  <c r="C19" i="5"/>
  <c r="B19" i="5"/>
  <c r="J18" i="5"/>
  <c r="I18" i="5"/>
  <c r="H18" i="5"/>
  <c r="F18" i="5"/>
  <c r="AK18" i="5" s="1"/>
  <c r="E18" i="5"/>
  <c r="AJ18" i="5" s="1"/>
  <c r="D18" i="5"/>
  <c r="C18" i="5"/>
  <c r="B18" i="5"/>
  <c r="L17" i="5"/>
  <c r="O17" i="5" s="1"/>
  <c r="K17" i="5"/>
  <c r="J17" i="5"/>
  <c r="I17" i="5"/>
  <c r="H17" i="5"/>
  <c r="AM17" i="5" s="1"/>
  <c r="G17" i="5"/>
  <c r="F17" i="5"/>
  <c r="E17" i="5"/>
  <c r="D17" i="5"/>
  <c r="R17" i="5" s="1"/>
  <c r="C17" i="5"/>
  <c r="B17" i="5"/>
  <c r="L16" i="5"/>
  <c r="K16" i="5"/>
  <c r="J16" i="5"/>
  <c r="I16" i="5"/>
  <c r="M16" i="5" s="1"/>
  <c r="H16" i="5"/>
  <c r="F16" i="5"/>
  <c r="E16" i="5"/>
  <c r="D16" i="5"/>
  <c r="R16" i="5" s="1"/>
  <c r="C16" i="5"/>
  <c r="AW16" i="5" s="1"/>
  <c r="B16" i="5"/>
  <c r="L15" i="5"/>
  <c r="K15" i="5"/>
  <c r="J15" i="5"/>
  <c r="I15" i="5"/>
  <c r="H15" i="5"/>
  <c r="G15" i="5"/>
  <c r="F15" i="5"/>
  <c r="AZ15" i="5" s="1"/>
  <c r="E15" i="5"/>
  <c r="D15" i="5"/>
  <c r="C15" i="5"/>
  <c r="B15" i="5"/>
  <c r="P15" i="5" s="1"/>
  <c r="K14" i="5"/>
  <c r="J14" i="5"/>
  <c r="I14" i="5"/>
  <c r="H14" i="5"/>
  <c r="E14" i="5"/>
  <c r="D14" i="5"/>
  <c r="C14" i="5"/>
  <c r="B14" i="5"/>
  <c r="K13" i="5"/>
  <c r="N13" i="5" s="1"/>
  <c r="J13" i="5"/>
  <c r="I13" i="5"/>
  <c r="H13" i="5"/>
  <c r="G13" i="5"/>
  <c r="F13" i="5"/>
  <c r="E13" i="5"/>
  <c r="D13" i="5"/>
  <c r="C13" i="5"/>
  <c r="B13" i="5"/>
  <c r="K12" i="5"/>
  <c r="J12" i="5"/>
  <c r="I12" i="5"/>
  <c r="E12" i="5"/>
  <c r="D12" i="5"/>
  <c r="R12" i="5" s="1"/>
  <c r="C12" i="5"/>
  <c r="B12" i="5"/>
  <c r="L11" i="5"/>
  <c r="O11" i="5" s="1"/>
  <c r="K11" i="5"/>
  <c r="N11" i="5" s="1"/>
  <c r="J11" i="5"/>
  <c r="I11" i="5"/>
  <c r="E11" i="5"/>
  <c r="AJ11" i="5" s="1"/>
  <c r="D11" i="5"/>
  <c r="AX11" i="5" s="1"/>
  <c r="C11" i="5"/>
  <c r="B11" i="5"/>
  <c r="L10" i="5"/>
  <c r="K10" i="5"/>
  <c r="J10" i="5"/>
  <c r="I10" i="5"/>
  <c r="H10" i="5"/>
  <c r="G10" i="5"/>
  <c r="F10" i="5"/>
  <c r="E10" i="5"/>
  <c r="AJ10" i="5" s="1"/>
  <c r="D10" i="5"/>
  <c r="AI10" i="5" s="1"/>
  <c r="C10" i="5"/>
  <c r="B10" i="5"/>
  <c r="K9" i="5"/>
  <c r="N9" i="5" s="1"/>
  <c r="J9" i="5"/>
  <c r="I9" i="5"/>
  <c r="M9" i="5" s="1"/>
  <c r="H9" i="5"/>
  <c r="F9" i="5"/>
  <c r="T9" i="5" s="1"/>
  <c r="E9" i="5"/>
  <c r="D9" i="5"/>
  <c r="C9" i="5"/>
  <c r="B9" i="5"/>
  <c r="P9" i="5" s="1"/>
  <c r="K8" i="5"/>
  <c r="J8" i="5"/>
  <c r="I8" i="5"/>
  <c r="H8" i="5"/>
  <c r="G8" i="5"/>
  <c r="F8" i="5"/>
  <c r="E8" i="5"/>
  <c r="D8" i="5"/>
  <c r="C8" i="5"/>
  <c r="B8" i="5"/>
  <c r="K7" i="5"/>
  <c r="J7" i="5"/>
  <c r="I7" i="5"/>
  <c r="N7" i="5" s="1"/>
  <c r="H7" i="5"/>
  <c r="F7" i="5"/>
  <c r="E7" i="5"/>
  <c r="D7" i="5"/>
  <c r="C7" i="5"/>
  <c r="B7" i="5"/>
  <c r="K6" i="5"/>
  <c r="J6" i="5"/>
  <c r="H6" i="5"/>
  <c r="BB6" i="5" s="1"/>
  <c r="G6" i="5"/>
  <c r="F6" i="5"/>
  <c r="E6" i="5"/>
  <c r="C6" i="5"/>
  <c r="AW6" i="5" s="1"/>
  <c r="B6" i="5"/>
  <c r="K5" i="5"/>
  <c r="J5" i="5"/>
  <c r="I5" i="5"/>
  <c r="H5" i="5"/>
  <c r="G5" i="5"/>
  <c r="F5" i="5"/>
  <c r="E5" i="5"/>
  <c r="AJ5" i="5" s="1"/>
  <c r="D5" i="5"/>
  <c r="C5" i="5"/>
  <c r="B5" i="5"/>
  <c r="L4" i="5"/>
  <c r="K4" i="5"/>
  <c r="J4" i="5"/>
  <c r="I4" i="5"/>
  <c r="N4" i="5" s="1"/>
  <c r="G4" i="5"/>
  <c r="BA4" i="5" s="1"/>
  <c r="F4" i="5"/>
  <c r="E4" i="5"/>
  <c r="D4" i="5"/>
  <c r="AX4" i="5" s="1"/>
  <c r="C4" i="5"/>
  <c r="B4" i="5"/>
  <c r="L29" i="4"/>
  <c r="K29" i="4"/>
  <c r="J29" i="4"/>
  <c r="I29" i="4"/>
  <c r="H29" i="4"/>
  <c r="G29" i="4"/>
  <c r="F29" i="4"/>
  <c r="DE29" i="4" s="1"/>
  <c r="E29" i="4"/>
  <c r="D29" i="4"/>
  <c r="C29" i="4"/>
  <c r="DB29" i="4" s="1"/>
  <c r="B29" i="4"/>
  <c r="CJ29" i="4" s="1"/>
  <c r="K28" i="4"/>
  <c r="J28" i="4"/>
  <c r="I28" i="4"/>
  <c r="H28" i="4"/>
  <c r="E28" i="4"/>
  <c r="D28" i="4"/>
  <c r="C28" i="4"/>
  <c r="DB28" i="4" s="1"/>
  <c r="B28" i="4"/>
  <c r="L27" i="4"/>
  <c r="K27" i="4"/>
  <c r="N27" i="4" s="1"/>
  <c r="J27" i="4"/>
  <c r="M27" i="4" s="1"/>
  <c r="I27" i="4"/>
  <c r="H27" i="4"/>
  <c r="G27" i="4"/>
  <c r="DF27" i="4" s="1"/>
  <c r="F27" i="4"/>
  <c r="CN27" i="4" s="1"/>
  <c r="E27" i="4"/>
  <c r="D27" i="4"/>
  <c r="C27" i="4"/>
  <c r="B27" i="4"/>
  <c r="L26" i="4"/>
  <c r="K26" i="4"/>
  <c r="J26" i="4"/>
  <c r="I26" i="4"/>
  <c r="E26" i="4"/>
  <c r="DD26" i="4" s="1"/>
  <c r="D26" i="4"/>
  <c r="C26" i="4"/>
  <c r="B26" i="4"/>
  <c r="L25" i="4"/>
  <c r="K25" i="4"/>
  <c r="J25" i="4"/>
  <c r="I25" i="4"/>
  <c r="H25" i="4"/>
  <c r="G25" i="4"/>
  <c r="E25" i="4"/>
  <c r="D25" i="4"/>
  <c r="C25" i="4"/>
  <c r="DB25" i="4" s="1"/>
  <c r="B25" i="4"/>
  <c r="L24" i="4"/>
  <c r="K24" i="4"/>
  <c r="J24" i="4"/>
  <c r="I24" i="4"/>
  <c r="H24" i="4"/>
  <c r="G24" i="4"/>
  <c r="F24" i="4"/>
  <c r="BD24" i="4" s="1"/>
  <c r="E24" i="4"/>
  <c r="D24" i="4"/>
  <c r="C24" i="4"/>
  <c r="B24" i="4"/>
  <c r="P24" i="4" s="1"/>
  <c r="L23" i="4"/>
  <c r="K23" i="4"/>
  <c r="J23" i="4"/>
  <c r="I23" i="4"/>
  <c r="H23" i="4"/>
  <c r="G23" i="4"/>
  <c r="DF23" i="4" s="1"/>
  <c r="F23" i="4"/>
  <c r="E23" i="4"/>
  <c r="BC23" i="4" s="1"/>
  <c r="D23" i="4"/>
  <c r="C23" i="4"/>
  <c r="B23" i="4"/>
  <c r="L22" i="4"/>
  <c r="K22" i="4"/>
  <c r="J22" i="4"/>
  <c r="I22" i="4"/>
  <c r="G22" i="4"/>
  <c r="F22" i="4"/>
  <c r="E22" i="4"/>
  <c r="D22" i="4"/>
  <c r="C22" i="4"/>
  <c r="B22" i="4"/>
  <c r="L21" i="4"/>
  <c r="K21" i="4"/>
  <c r="J21" i="4"/>
  <c r="I21" i="4"/>
  <c r="H21" i="4"/>
  <c r="G21" i="4"/>
  <c r="F21" i="4"/>
  <c r="BD21" i="4" s="1"/>
  <c r="E21" i="4"/>
  <c r="D21" i="4"/>
  <c r="C21" i="4"/>
  <c r="B21" i="4"/>
  <c r="L20" i="4"/>
  <c r="K20" i="4"/>
  <c r="J20" i="4"/>
  <c r="I20" i="4"/>
  <c r="H20" i="4"/>
  <c r="F20" i="4"/>
  <c r="E20" i="4"/>
  <c r="D20" i="4"/>
  <c r="CL20" i="4" s="1"/>
  <c r="C20" i="4"/>
  <c r="B20" i="4"/>
  <c r="CJ20" i="4" s="1"/>
  <c r="K19" i="4"/>
  <c r="J19" i="4"/>
  <c r="I19" i="4"/>
  <c r="H19" i="4"/>
  <c r="G19" i="4"/>
  <c r="F19" i="4"/>
  <c r="BD19" i="4" s="1"/>
  <c r="E19" i="4"/>
  <c r="D19" i="4"/>
  <c r="C19" i="4"/>
  <c r="DB19" i="4" s="1"/>
  <c r="B19" i="4"/>
  <c r="AZ19" i="4" s="1"/>
  <c r="J18" i="4"/>
  <c r="I18" i="4"/>
  <c r="H18" i="4"/>
  <c r="F18" i="4"/>
  <c r="E18" i="4"/>
  <c r="AK18" i="4" s="1"/>
  <c r="D18" i="4"/>
  <c r="C18" i="4"/>
  <c r="DB18" i="4" s="1"/>
  <c r="B18" i="4"/>
  <c r="L17" i="4"/>
  <c r="K17" i="4"/>
  <c r="J17" i="4"/>
  <c r="I17" i="4"/>
  <c r="H17" i="4"/>
  <c r="G17" i="4"/>
  <c r="F17" i="4"/>
  <c r="T17" i="4" s="1"/>
  <c r="E17" i="4"/>
  <c r="D17" i="4"/>
  <c r="C17" i="4"/>
  <c r="BA17" i="4" s="1"/>
  <c r="B17" i="4"/>
  <c r="L16" i="4"/>
  <c r="K16" i="4"/>
  <c r="J16" i="4"/>
  <c r="I16" i="4"/>
  <c r="H16" i="4"/>
  <c r="F16" i="4"/>
  <c r="E16" i="4"/>
  <c r="BC16" i="4" s="1"/>
  <c r="D16" i="4"/>
  <c r="C16" i="4"/>
  <c r="BA16" i="4" s="1"/>
  <c r="B16" i="4"/>
  <c r="L15" i="4"/>
  <c r="K15" i="4"/>
  <c r="J15" i="4"/>
  <c r="I15" i="4"/>
  <c r="H15" i="4"/>
  <c r="G15" i="4"/>
  <c r="F15" i="4"/>
  <c r="E15" i="4"/>
  <c r="BU15" i="4" s="1"/>
  <c r="D15" i="4"/>
  <c r="AJ15" i="4" s="1"/>
  <c r="C15" i="4"/>
  <c r="B15" i="4"/>
  <c r="K14" i="4"/>
  <c r="J14" i="4"/>
  <c r="I14" i="4"/>
  <c r="H14" i="4"/>
  <c r="AN14" i="4" s="1"/>
  <c r="E14" i="4"/>
  <c r="DD14" i="4" s="1"/>
  <c r="D14" i="4"/>
  <c r="C14" i="4"/>
  <c r="DB14" i="4" s="1"/>
  <c r="B14" i="4"/>
  <c r="AZ14" i="4" s="1"/>
  <c r="L13" i="4"/>
  <c r="K13" i="4"/>
  <c r="J13" i="4"/>
  <c r="I13" i="4"/>
  <c r="H13" i="4"/>
  <c r="G13" i="4"/>
  <c r="F13" i="4"/>
  <c r="E13" i="4"/>
  <c r="BU13" i="4" s="1"/>
  <c r="D13" i="4"/>
  <c r="C13" i="4"/>
  <c r="B13" i="4"/>
  <c r="K12" i="4"/>
  <c r="J12" i="4"/>
  <c r="I12" i="4"/>
  <c r="E12" i="4"/>
  <c r="CM12" i="4" s="1"/>
  <c r="D12" i="4"/>
  <c r="C12" i="4"/>
  <c r="B12" i="4"/>
  <c r="L11" i="4"/>
  <c r="K11" i="4"/>
  <c r="J11" i="4"/>
  <c r="I11" i="4"/>
  <c r="E11" i="4"/>
  <c r="D11" i="4"/>
  <c r="C11" i="4"/>
  <c r="DB11" i="4" s="1"/>
  <c r="B11" i="4"/>
  <c r="L10" i="4"/>
  <c r="K10" i="4"/>
  <c r="J10" i="4"/>
  <c r="I10" i="4"/>
  <c r="H10" i="4"/>
  <c r="BX10" i="4" s="1"/>
  <c r="G10" i="4"/>
  <c r="F10" i="4"/>
  <c r="E10" i="4"/>
  <c r="D10" i="4"/>
  <c r="C10" i="4"/>
  <c r="B10" i="4"/>
  <c r="K9" i="4"/>
  <c r="J9" i="4"/>
  <c r="I9" i="4"/>
  <c r="H9" i="4"/>
  <c r="BX9" i="4" s="1"/>
  <c r="F9" i="4"/>
  <c r="CN9" i="4" s="1"/>
  <c r="E9" i="4"/>
  <c r="D9" i="4"/>
  <c r="C9" i="4"/>
  <c r="BA9" i="4" s="1"/>
  <c r="B9" i="4"/>
  <c r="P9" i="4" s="1"/>
  <c r="K8" i="4"/>
  <c r="J8" i="4"/>
  <c r="I8" i="4"/>
  <c r="H8" i="4"/>
  <c r="G8" i="4"/>
  <c r="F8" i="4"/>
  <c r="E8" i="4"/>
  <c r="D8" i="4"/>
  <c r="C8" i="4"/>
  <c r="B8" i="4"/>
  <c r="K7" i="4"/>
  <c r="J7" i="4"/>
  <c r="I7" i="4"/>
  <c r="H7" i="4"/>
  <c r="F7" i="4"/>
  <c r="E7" i="4"/>
  <c r="D7" i="4"/>
  <c r="C7" i="4"/>
  <c r="B7" i="4"/>
  <c r="K6" i="4"/>
  <c r="J6" i="4"/>
  <c r="H6" i="4"/>
  <c r="G6" i="4"/>
  <c r="F6" i="4"/>
  <c r="CN6" i="4" s="1"/>
  <c r="E6" i="4"/>
  <c r="D6" i="4"/>
  <c r="C6" i="4"/>
  <c r="B6" i="4"/>
  <c r="CJ6" i="4" s="1"/>
  <c r="K5" i="4"/>
  <c r="J5" i="4"/>
  <c r="I5" i="4"/>
  <c r="H5" i="4"/>
  <c r="G5" i="4"/>
  <c r="F5" i="4"/>
  <c r="BD5" i="4" s="1"/>
  <c r="E5" i="4"/>
  <c r="D5" i="4"/>
  <c r="C5" i="4"/>
  <c r="DB5" i="4" s="1"/>
  <c r="B5" i="4"/>
  <c r="P5" i="4" s="1"/>
  <c r="K4" i="4"/>
  <c r="J4" i="4"/>
  <c r="I4" i="4"/>
  <c r="G4" i="4"/>
  <c r="F4" i="4"/>
  <c r="E4" i="4"/>
  <c r="D4" i="4"/>
  <c r="C4" i="4"/>
  <c r="B4" i="4"/>
  <c r="L29" i="3"/>
  <c r="O29" i="3" s="1"/>
  <c r="K29" i="3"/>
  <c r="J29" i="3"/>
  <c r="I29" i="3"/>
  <c r="H29" i="3"/>
  <c r="V29" i="3" s="1"/>
  <c r="AC29" i="3" s="1"/>
  <c r="G29" i="3"/>
  <c r="F29" i="3"/>
  <c r="E29" i="3"/>
  <c r="D29" i="3"/>
  <c r="R29" i="3" s="1"/>
  <c r="C29" i="3"/>
  <c r="B29" i="3"/>
  <c r="L28" i="3"/>
  <c r="O28" i="3" s="1"/>
  <c r="K28" i="3"/>
  <c r="J28" i="3"/>
  <c r="M28" i="3" s="1"/>
  <c r="I28" i="3"/>
  <c r="H28" i="3"/>
  <c r="V28" i="3" s="1"/>
  <c r="AC28" i="3" s="1"/>
  <c r="E28" i="3"/>
  <c r="D28" i="3"/>
  <c r="C28" i="3"/>
  <c r="B28" i="3"/>
  <c r="L27" i="3"/>
  <c r="O27" i="3" s="1"/>
  <c r="K27" i="3"/>
  <c r="J27" i="3"/>
  <c r="I27" i="3"/>
  <c r="N27" i="3" s="1"/>
  <c r="H27" i="3"/>
  <c r="G27" i="3"/>
  <c r="F27" i="3"/>
  <c r="E27" i="3"/>
  <c r="D27" i="3"/>
  <c r="R27" i="3" s="1"/>
  <c r="C27" i="3"/>
  <c r="B27" i="3"/>
  <c r="L26" i="3"/>
  <c r="O26" i="3" s="1"/>
  <c r="K26" i="3"/>
  <c r="J26" i="3"/>
  <c r="I26" i="3"/>
  <c r="N26" i="3" s="1"/>
  <c r="E26" i="3"/>
  <c r="D26" i="3"/>
  <c r="C26" i="3"/>
  <c r="Q26" i="3" s="1"/>
  <c r="B26" i="3"/>
  <c r="P26" i="3" s="1"/>
  <c r="K25" i="3"/>
  <c r="J25" i="3"/>
  <c r="I25" i="3"/>
  <c r="H25" i="3"/>
  <c r="G25" i="3"/>
  <c r="E25" i="3"/>
  <c r="D25" i="3"/>
  <c r="R25" i="3" s="1"/>
  <c r="C25" i="3"/>
  <c r="B25" i="3"/>
  <c r="L24" i="3"/>
  <c r="O24" i="3" s="1"/>
  <c r="K24" i="3"/>
  <c r="N24" i="3" s="1"/>
  <c r="J24" i="3"/>
  <c r="M24" i="3" s="1"/>
  <c r="I24" i="3"/>
  <c r="H24" i="3"/>
  <c r="V24" i="3" s="1"/>
  <c r="G24" i="3"/>
  <c r="U24" i="3" s="1"/>
  <c r="E24" i="3"/>
  <c r="D24" i="3"/>
  <c r="C24" i="3"/>
  <c r="Q24" i="3" s="1"/>
  <c r="B24" i="3"/>
  <c r="P24" i="3" s="1"/>
  <c r="L23" i="3"/>
  <c r="K23" i="3"/>
  <c r="N23" i="3" s="1"/>
  <c r="J23" i="3"/>
  <c r="M23" i="3" s="1"/>
  <c r="I23" i="3"/>
  <c r="H23" i="3"/>
  <c r="G23" i="3"/>
  <c r="U23" i="3" s="1"/>
  <c r="AB23" i="3" s="1"/>
  <c r="F23" i="3"/>
  <c r="T23" i="3" s="1"/>
  <c r="AA23" i="3" s="1"/>
  <c r="E23" i="3"/>
  <c r="D23" i="3"/>
  <c r="C23" i="3"/>
  <c r="Q23" i="3" s="1"/>
  <c r="B23" i="3"/>
  <c r="P23" i="3" s="1"/>
  <c r="W23" i="3" s="1"/>
  <c r="AD23" i="3" s="1"/>
  <c r="L22" i="3"/>
  <c r="K22" i="3"/>
  <c r="J22" i="3"/>
  <c r="I22" i="3"/>
  <c r="G22" i="3"/>
  <c r="F22" i="3"/>
  <c r="E22" i="3"/>
  <c r="D22" i="3"/>
  <c r="R22" i="3" s="1"/>
  <c r="C22" i="3"/>
  <c r="B22" i="3"/>
  <c r="L21" i="3"/>
  <c r="O21" i="3" s="1"/>
  <c r="K21" i="3"/>
  <c r="J21" i="3"/>
  <c r="I21" i="3"/>
  <c r="H21" i="3"/>
  <c r="V21" i="3" s="1"/>
  <c r="AC21" i="3" s="1"/>
  <c r="G21" i="3"/>
  <c r="F21" i="3"/>
  <c r="E21" i="3"/>
  <c r="D21" i="3"/>
  <c r="R21" i="3" s="1"/>
  <c r="C21" i="3"/>
  <c r="B21" i="3"/>
  <c r="L20" i="3"/>
  <c r="O20" i="3" s="1"/>
  <c r="K20" i="3"/>
  <c r="N20" i="3" s="1"/>
  <c r="J20" i="3"/>
  <c r="M20" i="3" s="1"/>
  <c r="I20" i="3"/>
  <c r="H20" i="3"/>
  <c r="V20" i="3" s="1"/>
  <c r="F20" i="3"/>
  <c r="T20" i="3" s="1"/>
  <c r="AA20" i="3" s="1"/>
  <c r="E20" i="3"/>
  <c r="D20" i="3"/>
  <c r="C20" i="3"/>
  <c r="Q20" i="3" s="1"/>
  <c r="X20" i="3" s="1"/>
  <c r="AE20" i="3" s="1"/>
  <c r="B20" i="3"/>
  <c r="P20" i="3" s="1"/>
  <c r="W20" i="3" s="1"/>
  <c r="AD20" i="3" s="1"/>
  <c r="K19" i="3"/>
  <c r="J19" i="3"/>
  <c r="I19" i="3"/>
  <c r="H19" i="3"/>
  <c r="G19" i="3"/>
  <c r="F19" i="3"/>
  <c r="E19" i="3"/>
  <c r="D19" i="3"/>
  <c r="C19" i="3"/>
  <c r="B19" i="3"/>
  <c r="J18" i="3"/>
  <c r="I18" i="3"/>
  <c r="H18" i="3"/>
  <c r="V18" i="3" s="1"/>
  <c r="F18" i="3"/>
  <c r="E18" i="3"/>
  <c r="D18" i="3"/>
  <c r="R18" i="3" s="1"/>
  <c r="C18" i="3"/>
  <c r="B18" i="3"/>
  <c r="L17" i="3"/>
  <c r="O17" i="3" s="1"/>
  <c r="K17" i="3"/>
  <c r="N17" i="3" s="1"/>
  <c r="J17" i="3"/>
  <c r="I17" i="3"/>
  <c r="H17" i="3"/>
  <c r="V17" i="3" s="1"/>
  <c r="AC17" i="3" s="1"/>
  <c r="G17" i="3"/>
  <c r="U17" i="3" s="1"/>
  <c r="F17" i="3"/>
  <c r="E17" i="3"/>
  <c r="D17" i="3"/>
  <c r="R17" i="3" s="1"/>
  <c r="C17" i="3"/>
  <c r="Q17" i="3" s="1"/>
  <c r="B17" i="3"/>
  <c r="L16" i="3"/>
  <c r="K16" i="3"/>
  <c r="N16" i="3" s="1"/>
  <c r="J16" i="3"/>
  <c r="M16" i="3" s="1"/>
  <c r="I16" i="3"/>
  <c r="H16" i="3"/>
  <c r="F16" i="3"/>
  <c r="E16" i="3"/>
  <c r="D16" i="3"/>
  <c r="C16" i="3"/>
  <c r="B16" i="3"/>
  <c r="L15" i="3"/>
  <c r="O15" i="3" s="1"/>
  <c r="K15" i="3"/>
  <c r="N15" i="3" s="1"/>
  <c r="J15" i="3"/>
  <c r="M15" i="3" s="1"/>
  <c r="I15" i="3"/>
  <c r="H15" i="3"/>
  <c r="V15" i="3" s="1"/>
  <c r="G15" i="3"/>
  <c r="F15" i="3"/>
  <c r="E15" i="3"/>
  <c r="D15" i="3"/>
  <c r="R15" i="3" s="1"/>
  <c r="C15" i="3"/>
  <c r="B15" i="3"/>
  <c r="K14" i="3"/>
  <c r="N14" i="3" s="1"/>
  <c r="J14" i="3"/>
  <c r="I14" i="3"/>
  <c r="H14" i="3"/>
  <c r="E14" i="3"/>
  <c r="D14" i="3"/>
  <c r="C14" i="3"/>
  <c r="B14" i="3"/>
  <c r="V13" i="3"/>
  <c r="K13" i="3"/>
  <c r="N13" i="3" s="1"/>
  <c r="J13" i="3"/>
  <c r="I13" i="3"/>
  <c r="H13" i="3"/>
  <c r="G13" i="3"/>
  <c r="F13" i="3"/>
  <c r="E13" i="3"/>
  <c r="D13" i="3"/>
  <c r="C13" i="3"/>
  <c r="B13" i="3"/>
  <c r="K12" i="3"/>
  <c r="J12" i="3"/>
  <c r="I12" i="3"/>
  <c r="G12" i="3"/>
  <c r="U12" i="3" s="1"/>
  <c r="E12" i="3"/>
  <c r="D12" i="3"/>
  <c r="R12" i="3" s="1"/>
  <c r="C12" i="3"/>
  <c r="B12" i="3"/>
  <c r="P12" i="3" s="1"/>
  <c r="L11" i="3"/>
  <c r="K11" i="3"/>
  <c r="J11" i="3"/>
  <c r="I11" i="3"/>
  <c r="E11" i="3"/>
  <c r="D11" i="3"/>
  <c r="R11" i="3" s="1"/>
  <c r="C11" i="3"/>
  <c r="B11" i="3"/>
  <c r="P11" i="3" s="1"/>
  <c r="L10" i="3"/>
  <c r="O10" i="3" s="1"/>
  <c r="K10" i="3"/>
  <c r="J10" i="3"/>
  <c r="M10" i="3" s="1"/>
  <c r="I10" i="3"/>
  <c r="H10" i="3"/>
  <c r="V10" i="3" s="1"/>
  <c r="G10" i="3"/>
  <c r="F10" i="3"/>
  <c r="T10" i="3" s="1"/>
  <c r="AA10" i="3" s="1"/>
  <c r="E10" i="3"/>
  <c r="D10" i="3"/>
  <c r="R10" i="3" s="1"/>
  <c r="C10" i="3"/>
  <c r="B10" i="3"/>
  <c r="P10" i="3" s="1"/>
  <c r="W10" i="3" s="1"/>
  <c r="AD10" i="3" s="1"/>
  <c r="K9" i="3"/>
  <c r="J9" i="3"/>
  <c r="M9" i="3" s="1"/>
  <c r="I9" i="3"/>
  <c r="N9" i="3" s="1"/>
  <c r="H9" i="3"/>
  <c r="V9" i="3" s="1"/>
  <c r="F9" i="3"/>
  <c r="E9" i="3"/>
  <c r="D9" i="3"/>
  <c r="C9" i="3"/>
  <c r="B9" i="3"/>
  <c r="O8" i="3"/>
  <c r="L8" i="3"/>
  <c r="K8" i="3"/>
  <c r="N8" i="3" s="1"/>
  <c r="J8" i="3"/>
  <c r="M8" i="3" s="1"/>
  <c r="I8" i="3"/>
  <c r="H8" i="3"/>
  <c r="V8" i="3" s="1"/>
  <c r="G8" i="3"/>
  <c r="U8" i="3" s="1"/>
  <c r="AB8" i="3" s="1"/>
  <c r="F8" i="3"/>
  <c r="T8" i="3" s="1"/>
  <c r="AA8" i="3" s="1"/>
  <c r="E8" i="3"/>
  <c r="D8" i="3"/>
  <c r="R8" i="3" s="1"/>
  <c r="C8" i="3"/>
  <c r="Q8" i="3" s="1"/>
  <c r="B8" i="3"/>
  <c r="P8" i="3" s="1"/>
  <c r="W8" i="3" s="1"/>
  <c r="AD8" i="3" s="1"/>
  <c r="K7" i="3"/>
  <c r="N7" i="3" s="1"/>
  <c r="J7" i="3"/>
  <c r="M7" i="3" s="1"/>
  <c r="I7" i="3"/>
  <c r="H7" i="3"/>
  <c r="V7" i="3" s="1"/>
  <c r="F7" i="3"/>
  <c r="E7" i="3"/>
  <c r="D7" i="3"/>
  <c r="C7" i="3"/>
  <c r="B7" i="3"/>
  <c r="L6" i="3"/>
  <c r="K6" i="3"/>
  <c r="J6" i="3"/>
  <c r="H6" i="3"/>
  <c r="V6" i="3" s="1"/>
  <c r="G6" i="3"/>
  <c r="F6" i="3"/>
  <c r="E6" i="3"/>
  <c r="D6" i="3"/>
  <c r="R6" i="3" s="1"/>
  <c r="C6" i="3"/>
  <c r="B6" i="3"/>
  <c r="V5" i="3"/>
  <c r="N5" i="3"/>
  <c r="K5" i="3"/>
  <c r="J5" i="3"/>
  <c r="I5" i="3"/>
  <c r="H5" i="3"/>
  <c r="G5" i="3"/>
  <c r="F5" i="3"/>
  <c r="E5" i="3"/>
  <c r="D5" i="3"/>
  <c r="C5" i="3"/>
  <c r="B5" i="3"/>
  <c r="L4" i="3"/>
  <c r="K4" i="3"/>
  <c r="J4" i="3"/>
  <c r="I4" i="3"/>
  <c r="G4" i="3"/>
  <c r="F4" i="3"/>
  <c r="E4" i="3"/>
  <c r="D4" i="3"/>
  <c r="R4" i="3" s="1"/>
  <c r="C4" i="3"/>
  <c r="B4" i="3"/>
  <c r="AB31" i="22"/>
  <c r="AB21" i="22" s="1"/>
  <c r="AA31" i="22"/>
  <c r="AA21" i="22" s="1"/>
  <c r="Z31" i="22"/>
  <c r="Y31" i="22"/>
  <c r="Y21" i="22" s="1"/>
  <c r="X31" i="22"/>
  <c r="X21" i="22" s="1"/>
  <c r="W31" i="22"/>
  <c r="V31" i="22"/>
  <c r="U31" i="22"/>
  <c r="U13" i="22" s="1"/>
  <c r="T31" i="22"/>
  <c r="T7" i="22" s="1"/>
  <c r="S31" i="22"/>
  <c r="R31" i="22"/>
  <c r="Q31" i="22"/>
  <c r="Q21" i="22" s="1"/>
  <c r="P31" i="22"/>
  <c r="P13" i="22" s="1"/>
  <c r="O31" i="22"/>
  <c r="N31" i="22"/>
  <c r="M31" i="22"/>
  <c r="M21" i="22" s="1"/>
  <c r="L31" i="22"/>
  <c r="L13" i="22" s="1"/>
  <c r="K31" i="22"/>
  <c r="J31" i="22"/>
  <c r="I31" i="22"/>
  <c r="I21" i="22" s="1"/>
  <c r="H31" i="22"/>
  <c r="H21" i="22" s="1"/>
  <c r="G31" i="22"/>
  <c r="F31" i="22"/>
  <c r="E31" i="22"/>
  <c r="D31" i="22"/>
  <c r="D7" i="22" s="1"/>
  <c r="C31" i="22"/>
  <c r="B31" i="22"/>
  <c r="Z21" i="22"/>
  <c r="V21" i="22"/>
  <c r="U21" i="22"/>
  <c r="T21" i="22"/>
  <c r="R21" i="22"/>
  <c r="N21" i="22"/>
  <c r="J21" i="22"/>
  <c r="F21" i="22"/>
  <c r="E21" i="22"/>
  <c r="D21" i="22"/>
  <c r="B21" i="22"/>
  <c r="AB18" i="22"/>
  <c r="AA18" i="22"/>
  <c r="Z18" i="22"/>
  <c r="V18" i="22"/>
  <c r="U18" i="22"/>
  <c r="T18" i="22"/>
  <c r="R18" i="22"/>
  <c r="N18" i="22"/>
  <c r="J18" i="22"/>
  <c r="F18" i="22"/>
  <c r="E18" i="22"/>
  <c r="D18" i="22"/>
  <c r="B18" i="22"/>
  <c r="AB13" i="22"/>
  <c r="AA13" i="22"/>
  <c r="Z13" i="22"/>
  <c r="Y13" i="22"/>
  <c r="V13" i="22"/>
  <c r="R13" i="22"/>
  <c r="N13" i="22"/>
  <c r="M13" i="22"/>
  <c r="J13" i="22"/>
  <c r="I13" i="22"/>
  <c r="F13" i="22"/>
  <c r="E13" i="22"/>
  <c r="D13" i="22"/>
  <c r="B13" i="22"/>
  <c r="AB7" i="22"/>
  <c r="AA7" i="22"/>
  <c r="Z7" i="22"/>
  <c r="V7" i="22"/>
  <c r="U7" i="22"/>
  <c r="R7" i="22"/>
  <c r="O7" i="22"/>
  <c r="N7" i="22"/>
  <c r="M7" i="22"/>
  <c r="L7" i="22"/>
  <c r="K7" i="22"/>
  <c r="J7" i="22"/>
  <c r="F7" i="22"/>
  <c r="E7" i="22"/>
  <c r="B7" i="22"/>
  <c r="Q39" i="20"/>
  <c r="P39" i="20"/>
  <c r="O39" i="20"/>
  <c r="N39" i="20"/>
  <c r="M39" i="20"/>
  <c r="L39" i="20"/>
  <c r="K39" i="20"/>
  <c r="Q33" i="20"/>
  <c r="P33" i="20"/>
  <c r="O33" i="20"/>
  <c r="N33" i="20"/>
  <c r="M33" i="20"/>
  <c r="L33" i="20"/>
  <c r="K33" i="20"/>
  <c r="Q27" i="20"/>
  <c r="P27" i="20"/>
  <c r="O27" i="20"/>
  <c r="N27" i="20"/>
  <c r="M27" i="20"/>
  <c r="L27" i="20"/>
  <c r="K27" i="20"/>
  <c r="Z21" i="20"/>
  <c r="Y21" i="20"/>
  <c r="X21" i="20"/>
  <c r="W21" i="20"/>
  <c r="V21" i="20"/>
  <c r="U21" i="20"/>
  <c r="T21" i="20"/>
  <c r="Q21" i="20"/>
  <c r="P21" i="20"/>
  <c r="O21" i="20"/>
  <c r="N21" i="20"/>
  <c r="M21" i="20"/>
  <c r="L21" i="20"/>
  <c r="K21" i="20"/>
  <c r="Z15" i="20"/>
  <c r="Y15" i="20"/>
  <c r="X15" i="20"/>
  <c r="W15" i="20"/>
  <c r="V15" i="20"/>
  <c r="U15" i="20"/>
  <c r="T15" i="20"/>
  <c r="Q15" i="20"/>
  <c r="P15" i="20"/>
  <c r="O15" i="20"/>
  <c r="N15" i="20"/>
  <c r="M15" i="20"/>
  <c r="L15" i="20"/>
  <c r="K15" i="20"/>
  <c r="AH10" i="20"/>
  <c r="O13" i="6" s="1"/>
  <c r="AG10" i="20"/>
  <c r="N17" i="6" s="1"/>
  <c r="AH9" i="20"/>
  <c r="J7" i="6" s="1"/>
  <c r="AG9" i="20"/>
  <c r="Z9" i="20"/>
  <c r="Y9" i="20"/>
  <c r="X9" i="20"/>
  <c r="W9" i="20"/>
  <c r="V9" i="20"/>
  <c r="U9" i="20"/>
  <c r="T9" i="20"/>
  <c r="P13" i="5" s="1"/>
  <c r="Q9" i="20"/>
  <c r="P9" i="20"/>
  <c r="O9" i="20"/>
  <c r="N9" i="20"/>
  <c r="M9" i="20"/>
  <c r="L9" i="20"/>
  <c r="K9" i="20"/>
  <c r="AD8" i="20"/>
  <c r="I4" i="7" s="1"/>
  <c r="AC8" i="20"/>
  <c r="H7" i="20"/>
  <c r="G7" i="20"/>
  <c r="F7" i="20"/>
  <c r="T7" i="3" s="1"/>
  <c r="E7" i="20"/>
  <c r="D7" i="20"/>
  <c r="C7" i="20"/>
  <c r="B7" i="20"/>
  <c r="H30" i="15"/>
  <c r="G30" i="15"/>
  <c r="F30" i="15"/>
  <c r="F28" i="15" s="1"/>
  <c r="E30" i="15"/>
  <c r="C30" i="15"/>
  <c r="B30" i="15"/>
  <c r="G28" i="15"/>
  <c r="G28" i="3" s="1"/>
  <c r="U28" i="3" s="1"/>
  <c r="G26" i="15"/>
  <c r="G26" i="4" s="1"/>
  <c r="DF26" i="4" s="1"/>
  <c r="F25" i="15"/>
  <c r="F25" i="4" s="1"/>
  <c r="F24" i="15"/>
  <c r="F24" i="5" s="1"/>
  <c r="AK24" i="5" s="1"/>
  <c r="G20" i="15"/>
  <c r="G20" i="4" s="1"/>
  <c r="G18" i="15"/>
  <c r="G16" i="15"/>
  <c r="G16" i="5" s="1"/>
  <c r="G14" i="15"/>
  <c r="G14" i="5" s="1"/>
  <c r="BA14" i="5" s="1"/>
  <c r="G12" i="15"/>
  <c r="G12" i="5" s="1"/>
  <c r="F12" i="15"/>
  <c r="F12" i="3" s="1"/>
  <c r="T12" i="3" s="1"/>
  <c r="G11" i="15"/>
  <c r="G11" i="3" s="1"/>
  <c r="U11" i="3" s="1"/>
  <c r="F11" i="15"/>
  <c r="G9" i="15"/>
  <c r="G9" i="4" s="1"/>
  <c r="DF9" i="4" s="1"/>
  <c r="G7" i="15"/>
  <c r="G7" i="4" s="1"/>
  <c r="DF7" i="4" s="1"/>
  <c r="D6" i="15"/>
  <c r="D6" i="5" s="1"/>
  <c r="H29" i="2"/>
  <c r="E29" i="2"/>
  <c r="D29" i="2"/>
  <c r="C29" i="2"/>
  <c r="B29" i="2"/>
  <c r="B5" i="2" s="1"/>
  <c r="M28" i="2"/>
  <c r="L28" i="2"/>
  <c r="K28" i="2"/>
  <c r="J28" i="2"/>
  <c r="I28" i="2"/>
  <c r="L27" i="2"/>
  <c r="K27" i="2"/>
  <c r="J27" i="2"/>
  <c r="I27" i="2"/>
  <c r="H27" i="2"/>
  <c r="L28" i="4" s="1"/>
  <c r="M26" i="2"/>
  <c r="K26" i="2"/>
  <c r="J26" i="2"/>
  <c r="I26" i="2"/>
  <c r="G26" i="2"/>
  <c r="E27" i="6" s="1"/>
  <c r="G27" i="6" s="1"/>
  <c r="M25" i="2"/>
  <c r="L25" i="2"/>
  <c r="K25" i="2"/>
  <c r="J25" i="2"/>
  <c r="I25" i="2"/>
  <c r="L24" i="2"/>
  <c r="K24" i="2"/>
  <c r="J24" i="2"/>
  <c r="I24" i="2"/>
  <c r="H24" i="2"/>
  <c r="L25" i="3" s="1"/>
  <c r="M23" i="2"/>
  <c r="L23" i="2"/>
  <c r="K23" i="2"/>
  <c r="J23" i="2"/>
  <c r="I23" i="2"/>
  <c r="H23" i="2"/>
  <c r="L24" i="5" s="1"/>
  <c r="M22" i="2"/>
  <c r="L22" i="2"/>
  <c r="K22" i="2"/>
  <c r="J22" i="2"/>
  <c r="I22" i="2"/>
  <c r="M21" i="2"/>
  <c r="L21" i="2"/>
  <c r="K21" i="2"/>
  <c r="J21" i="2"/>
  <c r="I21" i="2"/>
  <c r="M20" i="2"/>
  <c r="K20" i="2"/>
  <c r="J20" i="2"/>
  <c r="I20" i="2"/>
  <c r="G20" i="2"/>
  <c r="E21" i="6" s="1"/>
  <c r="C21" i="7" s="1"/>
  <c r="M19" i="2"/>
  <c r="L19" i="2"/>
  <c r="K19" i="2"/>
  <c r="J19" i="2"/>
  <c r="I19" i="2"/>
  <c r="L18" i="2"/>
  <c r="K18" i="2"/>
  <c r="J18" i="2"/>
  <c r="I18" i="2"/>
  <c r="H18" i="2"/>
  <c r="L17" i="2"/>
  <c r="J17" i="2"/>
  <c r="I17" i="2"/>
  <c r="H17" i="2"/>
  <c r="L18" i="5" s="1"/>
  <c r="F17" i="2"/>
  <c r="M16" i="2"/>
  <c r="L16" i="2"/>
  <c r="K16" i="2"/>
  <c r="J16" i="2"/>
  <c r="I16" i="2"/>
  <c r="H16" i="2"/>
  <c r="M15" i="2"/>
  <c r="K15" i="2"/>
  <c r="J15" i="2"/>
  <c r="I15" i="2"/>
  <c r="G15" i="2"/>
  <c r="E16" i="6" s="1"/>
  <c r="M14" i="2"/>
  <c r="L14" i="2"/>
  <c r="K14" i="2"/>
  <c r="J14" i="2"/>
  <c r="I14" i="2"/>
  <c r="H14" i="2"/>
  <c r="L13" i="2"/>
  <c r="K13" i="2"/>
  <c r="J13" i="2"/>
  <c r="I13" i="2"/>
  <c r="H13" i="2"/>
  <c r="M12" i="2"/>
  <c r="L12" i="2"/>
  <c r="K12" i="2"/>
  <c r="J12" i="2"/>
  <c r="I12" i="2"/>
  <c r="H12" i="2"/>
  <c r="L13" i="3" s="1"/>
  <c r="L11" i="2"/>
  <c r="K11" i="2"/>
  <c r="J11" i="2"/>
  <c r="I11" i="2"/>
  <c r="H11" i="2"/>
  <c r="M10" i="2"/>
  <c r="L10" i="2"/>
  <c r="K10" i="2"/>
  <c r="J10" i="2"/>
  <c r="I10" i="2"/>
  <c r="M9" i="2"/>
  <c r="L9" i="2"/>
  <c r="K9" i="2"/>
  <c r="J9" i="2"/>
  <c r="I9" i="2"/>
  <c r="L8" i="2"/>
  <c r="K8" i="2"/>
  <c r="J8" i="2"/>
  <c r="I8" i="2"/>
  <c r="H8" i="2"/>
  <c r="L9" i="3" s="1"/>
  <c r="O9" i="3" s="1"/>
  <c r="M7" i="2"/>
  <c r="K7" i="2"/>
  <c r="J7" i="2"/>
  <c r="I7" i="2"/>
  <c r="H7" i="2"/>
  <c r="G7" i="2"/>
  <c r="E8" i="6" s="1"/>
  <c r="L6" i="2"/>
  <c r="K6" i="2"/>
  <c r="J6" i="2"/>
  <c r="I6" i="2"/>
  <c r="H6" i="2"/>
  <c r="G6" i="2"/>
  <c r="J5" i="2"/>
  <c r="H5" i="2"/>
  <c r="L6" i="5" s="1"/>
  <c r="G5" i="2"/>
  <c r="L4" i="2"/>
  <c r="K4" i="2"/>
  <c r="J4" i="2"/>
  <c r="I4" i="2"/>
  <c r="H4" i="2"/>
  <c r="M3" i="2"/>
  <c r="L3" i="2"/>
  <c r="K3" i="2"/>
  <c r="J3" i="2"/>
  <c r="I3" i="2"/>
  <c r="H3" i="2"/>
  <c r="L4" i="4" s="1"/>
  <c r="W24" i="3" l="1"/>
  <c r="AD24" i="3" s="1"/>
  <c r="Y15" i="3"/>
  <c r="O12" i="6"/>
  <c r="O16" i="6"/>
  <c r="O25" i="6"/>
  <c r="O8" i="6"/>
  <c r="O10" i="6"/>
  <c r="N18" i="6"/>
  <c r="O22" i="6"/>
  <c r="Q22" i="6" s="1"/>
  <c r="Q4" i="6"/>
  <c r="O18" i="6"/>
  <c r="J20" i="6"/>
  <c r="N4" i="6"/>
  <c r="O20" i="6"/>
  <c r="O24" i="6"/>
  <c r="Q24" i="6" s="1"/>
  <c r="O28" i="6"/>
  <c r="Q28" i="6" s="1"/>
  <c r="O4" i="6"/>
  <c r="N13" i="6"/>
  <c r="J15" i="6"/>
  <c r="O9" i="6"/>
  <c r="N15" i="6"/>
  <c r="Q23" i="6"/>
  <c r="G8" i="6"/>
  <c r="K8" i="6" s="1"/>
  <c r="C8" i="7"/>
  <c r="D8" i="7" s="1"/>
  <c r="L8" i="7" s="1"/>
  <c r="M8" i="7" s="1"/>
  <c r="L26" i="2"/>
  <c r="I6" i="5"/>
  <c r="O6" i="5" s="1"/>
  <c r="I6" i="4"/>
  <c r="O6" i="4" s="1"/>
  <c r="I5" i="2"/>
  <c r="I29" i="2" s="1"/>
  <c r="I6" i="3"/>
  <c r="O6" i="3" s="1"/>
  <c r="H11" i="15"/>
  <c r="H11" i="3" s="1"/>
  <c r="V11" i="3" s="1"/>
  <c r="H12" i="15"/>
  <c r="H26" i="15"/>
  <c r="H4" i="15"/>
  <c r="I28" i="6"/>
  <c r="I24" i="6"/>
  <c r="I23" i="6"/>
  <c r="I22" i="6"/>
  <c r="I17" i="6"/>
  <c r="I16" i="6"/>
  <c r="I12" i="6"/>
  <c r="I8" i="6"/>
  <c r="I4" i="6"/>
  <c r="I18" i="6"/>
  <c r="I27" i="6"/>
  <c r="K27" i="6" s="1"/>
  <c r="I20" i="6"/>
  <c r="I15" i="6"/>
  <c r="I7" i="6"/>
  <c r="I29" i="6"/>
  <c r="K29" i="6" s="1"/>
  <c r="I26" i="6"/>
  <c r="I14" i="6"/>
  <c r="I9" i="6"/>
  <c r="I6" i="6"/>
  <c r="I5" i="6"/>
  <c r="I21" i="6"/>
  <c r="I19" i="6"/>
  <c r="K19" i="6" s="1"/>
  <c r="I11" i="6"/>
  <c r="K11" i="6" s="1"/>
  <c r="I25" i="6"/>
  <c r="Y25" i="3"/>
  <c r="R6" i="4"/>
  <c r="DG6" i="4"/>
  <c r="DC12" i="4"/>
  <c r="AH21" i="4"/>
  <c r="CK22" i="4"/>
  <c r="CO22" i="4"/>
  <c r="BF25" i="4"/>
  <c r="AH4" i="5"/>
  <c r="J29" i="2"/>
  <c r="K5" i="2"/>
  <c r="S7" i="3"/>
  <c r="Y22" i="3"/>
  <c r="BB4" i="4"/>
  <c r="DC10" i="4"/>
  <c r="BB10" i="5"/>
  <c r="AM10" i="5"/>
  <c r="AH21" i="5"/>
  <c r="AL24" i="5"/>
  <c r="I10" i="6"/>
  <c r="I13" i="6"/>
  <c r="K29" i="2"/>
  <c r="E6" i="6"/>
  <c r="C6" i="7" s="1"/>
  <c r="G29" i="2"/>
  <c r="L5" i="2"/>
  <c r="L29" i="2" s="1"/>
  <c r="O25" i="3"/>
  <c r="H22" i="15"/>
  <c r="H22" i="4" s="1"/>
  <c r="CP22" i="4" s="1"/>
  <c r="AC6" i="3"/>
  <c r="S9" i="3"/>
  <c r="S14" i="3"/>
  <c r="S28" i="3"/>
  <c r="L7" i="3"/>
  <c r="O7" i="3" s="1"/>
  <c r="L7" i="5"/>
  <c r="O7" i="5" s="1"/>
  <c r="L7" i="4"/>
  <c r="M6" i="2"/>
  <c r="G16" i="6"/>
  <c r="C16" i="7"/>
  <c r="L19" i="4"/>
  <c r="L19" i="3"/>
  <c r="O19" i="3" s="1"/>
  <c r="M18" i="2"/>
  <c r="C21" i="22"/>
  <c r="C18" i="22"/>
  <c r="C13" i="22"/>
  <c r="C7" i="22"/>
  <c r="G21" i="22"/>
  <c r="G18" i="22"/>
  <c r="G13" i="22"/>
  <c r="G7" i="22"/>
  <c r="K13" i="22"/>
  <c r="K21" i="22"/>
  <c r="K18" i="22"/>
  <c r="O13" i="22"/>
  <c r="O21" i="22"/>
  <c r="O18" i="22"/>
  <c r="S21" i="22"/>
  <c r="S18" i="22"/>
  <c r="S7" i="22"/>
  <c r="S13" i="22"/>
  <c r="W21" i="22"/>
  <c r="W7" i="22"/>
  <c r="W13" i="22"/>
  <c r="S5" i="3"/>
  <c r="W11" i="3"/>
  <c r="AD11" i="3" s="1"/>
  <c r="W12" i="3"/>
  <c r="AD12" i="3" s="1"/>
  <c r="S13" i="3"/>
  <c r="S19" i="3"/>
  <c r="W26" i="3"/>
  <c r="AD26" i="3" s="1"/>
  <c r="R13" i="4"/>
  <c r="BF13" i="4"/>
  <c r="K17" i="6"/>
  <c r="G29" i="6"/>
  <c r="P29" i="6" s="1"/>
  <c r="C29" i="7"/>
  <c r="D29" i="7" s="1"/>
  <c r="L29" i="7" s="1"/>
  <c r="L5" i="5"/>
  <c r="O5" i="5" s="1"/>
  <c r="L5" i="4"/>
  <c r="O5" i="4" s="1"/>
  <c r="L12" i="5"/>
  <c r="O12" i="5" s="1"/>
  <c r="L12" i="3"/>
  <c r="O12" i="3" s="1"/>
  <c r="L14" i="5"/>
  <c r="L14" i="3"/>
  <c r="O14" i="3" s="1"/>
  <c r="L15" i="2"/>
  <c r="K18" i="4"/>
  <c r="N18" i="4" s="1"/>
  <c r="CD18" i="4" s="1"/>
  <c r="K18" i="3"/>
  <c r="N18" i="3" s="1"/>
  <c r="K17" i="2"/>
  <c r="F29" i="2"/>
  <c r="F11" i="3"/>
  <c r="T11" i="3" s="1"/>
  <c r="AA11" i="3" s="1"/>
  <c r="F11" i="5"/>
  <c r="AL16" i="5"/>
  <c r="J29" i="6"/>
  <c r="L29" i="6" s="1"/>
  <c r="J25" i="6"/>
  <c r="J18" i="6"/>
  <c r="J13" i="6"/>
  <c r="J9" i="6"/>
  <c r="L9" i="6" s="1"/>
  <c r="J5" i="6"/>
  <c r="J26" i="6"/>
  <c r="J23" i="6"/>
  <c r="L23" i="6" s="1"/>
  <c r="J21" i="6"/>
  <c r="L21" i="6" s="1"/>
  <c r="J14" i="6"/>
  <c r="J10" i="6"/>
  <c r="L10" i="6" s="1"/>
  <c r="J6" i="6"/>
  <c r="J4" i="6"/>
  <c r="S4" i="3"/>
  <c r="O4" i="3"/>
  <c r="P5" i="3"/>
  <c r="W5" i="3" s="1"/>
  <c r="AD5" i="3" s="1"/>
  <c r="T5" i="3"/>
  <c r="AA5" i="3" s="1"/>
  <c r="M5" i="3"/>
  <c r="S6" i="3"/>
  <c r="P7" i="3"/>
  <c r="W7" i="3" s="1"/>
  <c r="AD7" i="3" s="1"/>
  <c r="X8" i="3"/>
  <c r="AE8" i="3" s="1"/>
  <c r="P13" i="3"/>
  <c r="T13" i="3"/>
  <c r="M13" i="3"/>
  <c r="P14" i="3"/>
  <c r="P16" i="3"/>
  <c r="W16" i="3" s="1"/>
  <c r="AD16" i="3" s="1"/>
  <c r="T16" i="3"/>
  <c r="AA16" i="3" s="1"/>
  <c r="Y18" i="3"/>
  <c r="P19" i="3"/>
  <c r="W19" i="3" s="1"/>
  <c r="AD19" i="3" s="1"/>
  <c r="T19" i="3"/>
  <c r="AA19" i="3" s="1"/>
  <c r="M19" i="3"/>
  <c r="S21" i="3"/>
  <c r="Z21" i="3" s="1"/>
  <c r="S22" i="3"/>
  <c r="Z22" i="3" s="1"/>
  <c r="M22" i="3"/>
  <c r="X23" i="3"/>
  <c r="AE23" i="3" s="1"/>
  <c r="S25" i="3"/>
  <c r="M25" i="3"/>
  <c r="S27" i="3"/>
  <c r="P28" i="3"/>
  <c r="W28" i="3" s="1"/>
  <c r="AD28" i="3" s="1"/>
  <c r="S29" i="3"/>
  <c r="Z29" i="3" s="1"/>
  <c r="DD4" i="4"/>
  <c r="AM5" i="4"/>
  <c r="AI7" i="4"/>
  <c r="DG7" i="4"/>
  <c r="DD8" i="4"/>
  <c r="L9" i="4"/>
  <c r="O9" i="4" s="1"/>
  <c r="BC10" i="4"/>
  <c r="BR11" i="4"/>
  <c r="F11" i="4"/>
  <c r="L12" i="4"/>
  <c r="L14" i="4"/>
  <c r="BV16" i="4"/>
  <c r="BW17" i="4"/>
  <c r="DC18" i="4"/>
  <c r="AM19" i="4"/>
  <c r="AM29" i="4"/>
  <c r="P5" i="5"/>
  <c r="T5" i="5"/>
  <c r="M5" i="5"/>
  <c r="AH7" i="5"/>
  <c r="AM7" i="5"/>
  <c r="AS7" i="5" s="1"/>
  <c r="S8" i="5"/>
  <c r="AH9" i="5"/>
  <c r="AN9" i="5" s="1"/>
  <c r="AT9" i="5" s="1"/>
  <c r="AM9" i="5"/>
  <c r="L9" i="5"/>
  <c r="O9" i="5" s="1"/>
  <c r="AH14" i="5"/>
  <c r="Q15" i="5"/>
  <c r="S17" i="5"/>
  <c r="P18" i="5"/>
  <c r="K18" i="5"/>
  <c r="P25" i="5"/>
  <c r="AL25" i="5"/>
  <c r="AY28" i="5"/>
  <c r="AI29" i="5"/>
  <c r="H4" i="7"/>
  <c r="P4" i="6"/>
  <c r="J8" i="6"/>
  <c r="L8" i="6" s="1"/>
  <c r="J16" i="6"/>
  <c r="J28" i="6"/>
  <c r="M4" i="2"/>
  <c r="M5" i="2"/>
  <c r="M8" i="2"/>
  <c r="M11" i="2"/>
  <c r="M13" i="2"/>
  <c r="M24" i="2"/>
  <c r="AI6" i="5"/>
  <c r="G18" i="4"/>
  <c r="BW18" i="4" s="1"/>
  <c r="G18" i="3"/>
  <c r="U18" i="3" s="1"/>
  <c r="AB18" i="3" s="1"/>
  <c r="N26" i="6"/>
  <c r="P26" i="6" s="1"/>
  <c r="N20" i="6"/>
  <c r="N19" i="6"/>
  <c r="N14" i="6"/>
  <c r="N10" i="6"/>
  <c r="N6" i="6"/>
  <c r="N28" i="6"/>
  <c r="N24" i="6"/>
  <c r="N16" i="6"/>
  <c r="N12" i="6"/>
  <c r="N8" i="6"/>
  <c r="T13" i="22"/>
  <c r="L18" i="22"/>
  <c r="L21" i="22"/>
  <c r="T4" i="3"/>
  <c r="AA4" i="3" s="1"/>
  <c r="M4" i="3"/>
  <c r="Q5" i="3"/>
  <c r="X5" i="3" s="1"/>
  <c r="AE5" i="3" s="1"/>
  <c r="U5" i="3"/>
  <c r="AB5" i="3" s="1"/>
  <c r="P6" i="3"/>
  <c r="T6" i="3"/>
  <c r="Q7" i="3"/>
  <c r="Y8" i="3"/>
  <c r="AC8" i="3"/>
  <c r="Q9" i="3"/>
  <c r="X9" i="3" s="1"/>
  <c r="AE9" i="3" s="1"/>
  <c r="Y10" i="3"/>
  <c r="N11" i="3"/>
  <c r="AB11" i="3" s="1"/>
  <c r="Y12" i="3"/>
  <c r="M12" i="3"/>
  <c r="Q13" i="3"/>
  <c r="U13" i="3"/>
  <c r="AB13" i="3" s="1"/>
  <c r="P15" i="3"/>
  <c r="W15" i="3" s="1"/>
  <c r="AD15" i="3" s="1"/>
  <c r="T15" i="3"/>
  <c r="AA15" i="3" s="1"/>
  <c r="Q16" i="3"/>
  <c r="G16" i="3"/>
  <c r="U16" i="3" s="1"/>
  <c r="AB16" i="3" s="1"/>
  <c r="S18" i="3"/>
  <c r="M18" i="3"/>
  <c r="BB7" i="4"/>
  <c r="BR8" i="4"/>
  <c r="DE8" i="4"/>
  <c r="BT9" i="4"/>
  <c r="AH10" i="4"/>
  <c r="AL10" i="4"/>
  <c r="BR12" i="4"/>
  <c r="BR13" i="4"/>
  <c r="AH15" i="4"/>
  <c r="BV15" i="4"/>
  <c r="G16" i="4"/>
  <c r="BE16" i="4" s="1"/>
  <c r="DC17" i="4"/>
  <c r="BF17" i="4"/>
  <c r="BD20" i="4"/>
  <c r="BB21" i="4"/>
  <c r="BF21" i="4"/>
  <c r="AI23" i="4"/>
  <c r="CP24" i="4"/>
  <c r="BS26" i="4"/>
  <c r="AI27" i="4"/>
  <c r="AH13" i="5"/>
  <c r="AL13" i="5"/>
  <c r="AI14" i="5"/>
  <c r="BB15" i="5"/>
  <c r="AM15" i="5"/>
  <c r="P19" i="5"/>
  <c r="W19" i="5" s="1"/>
  <c r="AD19" i="5" s="1"/>
  <c r="Q20" i="5"/>
  <c r="AM20" i="5"/>
  <c r="AJ21" i="5"/>
  <c r="N21" i="5"/>
  <c r="P22" i="5"/>
  <c r="N22" i="5"/>
  <c r="Q23" i="5"/>
  <c r="AL23" i="5"/>
  <c r="AR23" i="5" s="1"/>
  <c r="AW25" i="5"/>
  <c r="AM25" i="5"/>
  <c r="L25" i="5"/>
  <c r="O25" i="5" s="1"/>
  <c r="AY26" i="5"/>
  <c r="AY27" i="5"/>
  <c r="P28" i="5"/>
  <c r="L28" i="5"/>
  <c r="O28" i="5" s="1"/>
  <c r="AJ29" i="5"/>
  <c r="J11" i="6"/>
  <c r="P19" i="6"/>
  <c r="J19" i="6"/>
  <c r="N21" i="6"/>
  <c r="J22" i="6"/>
  <c r="K23" i="6"/>
  <c r="P25" i="6"/>
  <c r="L8" i="5"/>
  <c r="O8" i="5" s="1"/>
  <c r="L8" i="4"/>
  <c r="L7" i="2"/>
  <c r="O13" i="3"/>
  <c r="M17" i="2"/>
  <c r="L20" i="2"/>
  <c r="M27" i="2"/>
  <c r="F14" i="15"/>
  <c r="F26" i="15"/>
  <c r="F26" i="4" s="1"/>
  <c r="DE26" i="4" s="1"/>
  <c r="O27" i="6"/>
  <c r="O21" i="6"/>
  <c r="Q21" i="6" s="1"/>
  <c r="O15" i="6"/>
  <c r="O11" i="6"/>
  <c r="O7" i="6"/>
  <c r="O19" i="6"/>
  <c r="Q19" i="6" s="1"/>
  <c r="O17" i="6"/>
  <c r="Q17" i="6" s="1"/>
  <c r="O5" i="6"/>
  <c r="Q13" i="22"/>
  <c r="M18" i="22"/>
  <c r="U4" i="3"/>
  <c r="AB4" i="3" s="1"/>
  <c r="N4" i="3"/>
  <c r="R5" i="3"/>
  <c r="Y5" i="3" s="1"/>
  <c r="L5" i="3"/>
  <c r="O5" i="3" s="1"/>
  <c r="Q6" i="3"/>
  <c r="U6" i="3"/>
  <c r="AB6" i="3" s="1"/>
  <c r="N6" i="3"/>
  <c r="R7" i="3"/>
  <c r="Y7" i="3" s="1"/>
  <c r="S8" i="3"/>
  <c r="Z8" i="3" s="1"/>
  <c r="R9" i="3"/>
  <c r="S10" i="3"/>
  <c r="Z10" i="3" s="1"/>
  <c r="S11" i="3"/>
  <c r="Z11" i="3" s="1"/>
  <c r="O11" i="3"/>
  <c r="S12" i="3"/>
  <c r="N12" i="3"/>
  <c r="R14" i="3"/>
  <c r="M14" i="3"/>
  <c r="Q15" i="3"/>
  <c r="X15" i="3" s="1"/>
  <c r="AE15" i="3" s="1"/>
  <c r="U15" i="3"/>
  <c r="R16" i="3"/>
  <c r="Y16" i="3" s="1"/>
  <c r="V16" i="3"/>
  <c r="S17" i="3"/>
  <c r="P18" i="3"/>
  <c r="W18" i="3" s="1"/>
  <c r="AD18" i="3" s="1"/>
  <c r="T18" i="3"/>
  <c r="AA18" i="3" s="1"/>
  <c r="L18" i="3"/>
  <c r="O18" i="3" s="1"/>
  <c r="AC18" i="3" s="1"/>
  <c r="R19" i="3"/>
  <c r="V19" i="3"/>
  <c r="S20" i="3"/>
  <c r="Z20" i="3" s="1"/>
  <c r="Q21" i="3"/>
  <c r="U21" i="3"/>
  <c r="AB21" i="3" s="1"/>
  <c r="N21" i="3"/>
  <c r="Q22" i="3"/>
  <c r="X22" i="3" s="1"/>
  <c r="AE22" i="3" s="1"/>
  <c r="U22" i="3"/>
  <c r="O22" i="3"/>
  <c r="S23" i="3"/>
  <c r="Z23" i="3" s="1"/>
  <c r="S24" i="3"/>
  <c r="Z24" i="3" s="1"/>
  <c r="Q25" i="3"/>
  <c r="V25" i="3"/>
  <c r="S26" i="3"/>
  <c r="Q27" i="3"/>
  <c r="U27" i="3"/>
  <c r="AB27" i="3" s="1"/>
  <c r="R28" i="3"/>
  <c r="Q29" i="3"/>
  <c r="U29" i="3"/>
  <c r="AB29" i="3" s="1"/>
  <c r="N29" i="3"/>
  <c r="AI4" i="4"/>
  <c r="DF4" i="4"/>
  <c r="AK5" i="4"/>
  <c r="BS6" i="4"/>
  <c r="AM6" i="4"/>
  <c r="L6" i="4"/>
  <c r="DD7" i="4"/>
  <c r="DB8" i="4"/>
  <c r="BE8" i="4"/>
  <c r="L18" i="4"/>
  <c r="AK19" i="4"/>
  <c r="DB20" i="4"/>
  <c r="DG20" i="4"/>
  <c r="AK21" i="4"/>
  <c r="CJ22" i="4"/>
  <c r="BB23" i="4"/>
  <c r="DG23" i="4"/>
  <c r="AK24" i="4"/>
  <c r="CJ25" i="4"/>
  <c r="AM25" i="4"/>
  <c r="CL26" i="4"/>
  <c r="P6" i="5"/>
  <c r="AL6" i="5"/>
  <c r="AJ7" i="5"/>
  <c r="AH8" i="5"/>
  <c r="BA8" i="5"/>
  <c r="AW12" i="5"/>
  <c r="AI13" i="5"/>
  <c r="L13" i="5"/>
  <c r="G4" i="6"/>
  <c r="N5" i="6"/>
  <c r="O6" i="6"/>
  <c r="N9" i="6"/>
  <c r="N11" i="6"/>
  <c r="P11" i="6" s="1"/>
  <c r="J12" i="6"/>
  <c r="L12" i="6" s="1"/>
  <c r="O14" i="6"/>
  <c r="J17" i="6"/>
  <c r="N22" i="6"/>
  <c r="J24" i="6"/>
  <c r="L24" i="6" s="1"/>
  <c r="O26" i="6"/>
  <c r="N29" i="6"/>
  <c r="P9" i="3"/>
  <c r="W9" i="3" s="1"/>
  <c r="AD9" i="3" s="1"/>
  <c r="T9" i="3"/>
  <c r="AA9" i="3" s="1"/>
  <c r="Q10" i="3"/>
  <c r="X10" i="3" s="1"/>
  <c r="AE10" i="3" s="1"/>
  <c r="U10" i="3"/>
  <c r="AB10" i="3" s="1"/>
  <c r="N10" i="3"/>
  <c r="Q11" i="3"/>
  <c r="X11" i="3" s="1"/>
  <c r="AE11" i="3" s="1"/>
  <c r="M11" i="3"/>
  <c r="Y11" i="3" s="1"/>
  <c r="Q12" i="3"/>
  <c r="X12" i="3" s="1"/>
  <c r="AE12" i="3" s="1"/>
  <c r="R13" i="3"/>
  <c r="Q14" i="3"/>
  <c r="V14" i="3"/>
  <c r="AC14" i="3" s="1"/>
  <c r="S15" i="3"/>
  <c r="Z15" i="3" s="1"/>
  <c r="S16" i="3"/>
  <c r="O16" i="3"/>
  <c r="P17" i="3"/>
  <c r="W17" i="3" s="1"/>
  <c r="AD17" i="3" s="1"/>
  <c r="T17" i="3"/>
  <c r="M17" i="3"/>
  <c r="Q18" i="3"/>
  <c r="Q19" i="3"/>
  <c r="X19" i="3" s="1"/>
  <c r="AE19" i="3" s="1"/>
  <c r="U19" i="3"/>
  <c r="AB19" i="3" s="1"/>
  <c r="N19" i="3"/>
  <c r="R20" i="3"/>
  <c r="Y20" i="3" s="1"/>
  <c r="P21" i="3"/>
  <c r="W21" i="3" s="1"/>
  <c r="AD21" i="3" s="1"/>
  <c r="T21" i="3"/>
  <c r="AA21" i="3" s="1"/>
  <c r="M21" i="3"/>
  <c r="P22" i="3"/>
  <c r="W22" i="3" s="1"/>
  <c r="AD22" i="3" s="1"/>
  <c r="T22" i="3"/>
  <c r="AA22" i="3" s="1"/>
  <c r="N22" i="3"/>
  <c r="R23" i="3"/>
  <c r="Y23" i="3" s="1"/>
  <c r="V23" i="3"/>
  <c r="AC23" i="3" s="1"/>
  <c r="O23" i="3"/>
  <c r="R24" i="3"/>
  <c r="Y24" i="3" s="1"/>
  <c r="P25" i="3"/>
  <c r="U25" i="3"/>
  <c r="AB25" i="3" s="1"/>
  <c r="N25" i="3"/>
  <c r="R26" i="3"/>
  <c r="Y26" i="3" s="1"/>
  <c r="M26" i="3"/>
  <c r="P27" i="3"/>
  <c r="T27" i="3"/>
  <c r="Q28" i="3"/>
  <c r="X28" i="3" s="1"/>
  <c r="AE28" i="3" s="1"/>
  <c r="N28" i="3"/>
  <c r="AB28" i="3" s="1"/>
  <c r="P29" i="3"/>
  <c r="W29" i="3" s="1"/>
  <c r="AD29" i="3" s="1"/>
  <c r="T29" i="3"/>
  <c r="AA29" i="3" s="1"/>
  <c r="M29" i="3"/>
  <c r="Y29" i="3" s="1"/>
  <c r="BR4" i="4"/>
  <c r="CN4" i="4"/>
  <c r="CP5" i="4"/>
  <c r="DD6" i="4"/>
  <c r="CN7" i="4"/>
  <c r="AJ8" i="4"/>
  <c r="AN8" i="4"/>
  <c r="DD9" i="4"/>
  <c r="DC11" i="4"/>
  <c r="BA12" i="4"/>
  <c r="DB13" i="4"/>
  <c r="AM13" i="4"/>
  <c r="DC14" i="4"/>
  <c r="BA15" i="4"/>
  <c r="DF15" i="4"/>
  <c r="AJ16" i="4"/>
  <c r="DG16" i="4"/>
  <c r="BU17" i="4"/>
  <c r="AH18" i="4"/>
  <c r="BD18" i="4"/>
  <c r="DC19" i="4"/>
  <c r="BF19" i="4"/>
  <c r="BU20" i="4"/>
  <c r="DB21" i="4"/>
  <c r="DF21" i="4"/>
  <c r="AJ22" i="4"/>
  <c r="CN23" i="4"/>
  <c r="DB24" i="4"/>
  <c r="BW24" i="4"/>
  <c r="DC25" i="4"/>
  <c r="AZ26" i="4"/>
  <c r="BU27" i="4"/>
  <c r="P28" i="4"/>
  <c r="CP28" i="4"/>
  <c r="DD29" i="4"/>
  <c r="P4" i="5"/>
  <c r="T4" i="5"/>
  <c r="R5" i="5"/>
  <c r="Y5" i="5" s="1"/>
  <c r="BB5" i="5"/>
  <c r="AZ6" i="5"/>
  <c r="R7" i="5"/>
  <c r="P8" i="5"/>
  <c r="W8" i="5" s="1"/>
  <c r="AD8" i="5" s="1"/>
  <c r="AK8" i="5"/>
  <c r="M8" i="5"/>
  <c r="AI9" i="5"/>
  <c r="P10" i="5"/>
  <c r="W10" i="5" s="1"/>
  <c r="AD10" i="5" s="1"/>
  <c r="AK10" i="5"/>
  <c r="P11" i="5"/>
  <c r="AY12" i="5"/>
  <c r="AY13" i="5"/>
  <c r="AY14" i="5"/>
  <c r="P16" i="5"/>
  <c r="T16" i="5"/>
  <c r="AH17" i="5"/>
  <c r="AL17" i="5"/>
  <c r="N17" i="5"/>
  <c r="R18" i="5"/>
  <c r="O18" i="5"/>
  <c r="Q19" i="5"/>
  <c r="AL19" i="5"/>
  <c r="AR19" i="5" s="1"/>
  <c r="R20" i="5"/>
  <c r="P21" i="5"/>
  <c r="AZ21" i="5"/>
  <c r="BA22" i="5"/>
  <c r="BB23" i="5"/>
  <c r="O23" i="5"/>
  <c r="AX25" i="5"/>
  <c r="N25" i="5"/>
  <c r="P26" i="5"/>
  <c r="P27" i="5"/>
  <c r="AZ27" i="5"/>
  <c r="AH28" i="5"/>
  <c r="P29" i="5"/>
  <c r="AZ29" i="5"/>
  <c r="M29" i="5"/>
  <c r="AO29" i="5" s="1"/>
  <c r="K5" i="6"/>
  <c r="Q9" i="6"/>
  <c r="Q13" i="6"/>
  <c r="D16" i="7"/>
  <c r="L16" i="7" s="1"/>
  <c r="M16" i="7" s="1"/>
  <c r="H20" i="6"/>
  <c r="Q20" i="6" s="1"/>
  <c r="BB27" i="4"/>
  <c r="DG27" i="4"/>
  <c r="AK28" i="4"/>
  <c r="DC29" i="4"/>
  <c r="BF29" i="4"/>
  <c r="S4" i="5"/>
  <c r="AH5" i="5"/>
  <c r="AL5" i="5"/>
  <c r="N5" i="5"/>
  <c r="AJ6" i="5"/>
  <c r="AP6" i="5" s="1"/>
  <c r="P7" i="5"/>
  <c r="AZ7" i="5"/>
  <c r="AI8" i="5"/>
  <c r="AJ9" i="5"/>
  <c r="AH10" i="5"/>
  <c r="AN10" i="5" s="1"/>
  <c r="AT10" i="5" s="1"/>
  <c r="U10" i="5"/>
  <c r="Q11" i="5"/>
  <c r="P12" i="5"/>
  <c r="P14" i="5"/>
  <c r="BB14" i="5"/>
  <c r="P17" i="5"/>
  <c r="W17" i="5" s="1"/>
  <c r="AD17" i="5" s="1"/>
  <c r="BB18" i="5"/>
  <c r="S19" i="5"/>
  <c r="P20" i="5"/>
  <c r="T20" i="5"/>
  <c r="AA20" i="5" s="1"/>
  <c r="N20" i="5"/>
  <c r="AI21" i="5"/>
  <c r="BB21" i="5"/>
  <c r="AJ22" i="5"/>
  <c r="P23" i="5"/>
  <c r="AK23" i="5"/>
  <c r="AQ23" i="5" s="1"/>
  <c r="M23" i="5"/>
  <c r="AW24" i="5"/>
  <c r="AM24" i="5"/>
  <c r="S25" i="5"/>
  <c r="AW26" i="5"/>
  <c r="AH27" i="5"/>
  <c r="AN27" i="5" s="1"/>
  <c r="AT27" i="5" s="1"/>
  <c r="U27" i="5"/>
  <c r="AI28" i="5"/>
  <c r="Q29" i="5"/>
  <c r="BA29" i="5"/>
  <c r="BG29" i="5" s="1"/>
  <c r="N29" i="5"/>
  <c r="H25" i="6"/>
  <c r="G26" i="6"/>
  <c r="H27" i="6"/>
  <c r="X18" i="22"/>
  <c r="H18" i="22"/>
  <c r="P18" i="22"/>
  <c r="Y18" i="22"/>
  <c r="I18" i="22"/>
  <c r="Q18" i="22"/>
  <c r="H13" i="22"/>
  <c r="X13" i="22"/>
  <c r="H7" i="22"/>
  <c r="P7" i="22"/>
  <c r="X7" i="22"/>
  <c r="P21" i="22"/>
  <c r="I7" i="22"/>
  <c r="Q7" i="22"/>
  <c r="Y7" i="22"/>
  <c r="F28" i="3"/>
  <c r="T28" i="3" s="1"/>
  <c r="AA28" i="3" s="1"/>
  <c r="F28" i="4"/>
  <c r="BD28" i="4" s="1"/>
  <c r="F28" i="5"/>
  <c r="AZ28" i="5" s="1"/>
  <c r="G7" i="3"/>
  <c r="U7" i="3" s="1"/>
  <c r="G14" i="3"/>
  <c r="U14" i="3" s="1"/>
  <c r="AB14" i="3" s="1"/>
  <c r="H22" i="3"/>
  <c r="V22" i="3" s="1"/>
  <c r="AC22" i="3" s="1"/>
  <c r="G11" i="4"/>
  <c r="BE11" i="4" s="1"/>
  <c r="G9" i="5"/>
  <c r="G11" i="5"/>
  <c r="BA11" i="5" s="1"/>
  <c r="BG11" i="5" s="1"/>
  <c r="H22" i="5"/>
  <c r="BB22" i="5" s="1"/>
  <c r="F25" i="5"/>
  <c r="D30" i="15"/>
  <c r="G9" i="3"/>
  <c r="U9" i="3" s="1"/>
  <c r="AB9" i="3" s="1"/>
  <c r="F25" i="3"/>
  <c r="T25" i="3" s="1"/>
  <c r="H11" i="4"/>
  <c r="BF11" i="4" s="1"/>
  <c r="G14" i="4"/>
  <c r="U14" i="4" s="1"/>
  <c r="AB14" i="4" s="1"/>
  <c r="V10" i="5"/>
  <c r="H11" i="5"/>
  <c r="G20" i="5"/>
  <c r="AL20" i="5" s="1"/>
  <c r="G20" i="3"/>
  <c r="U20" i="3" s="1"/>
  <c r="F12" i="4"/>
  <c r="BV12" i="4" s="1"/>
  <c r="H4" i="5"/>
  <c r="V4" i="5" s="1"/>
  <c r="G7" i="5"/>
  <c r="U7" i="5" s="1"/>
  <c r="AB7" i="5" s="1"/>
  <c r="AW14" i="5"/>
  <c r="G28" i="5"/>
  <c r="G12" i="4"/>
  <c r="BW12" i="4" s="1"/>
  <c r="G28" i="4"/>
  <c r="BW28" i="4" s="1"/>
  <c r="F12" i="5"/>
  <c r="G18" i="5"/>
  <c r="BA18" i="5" s="1"/>
  <c r="F26" i="5"/>
  <c r="T26" i="5" s="1"/>
  <c r="AA26" i="5" s="1"/>
  <c r="F26" i="3"/>
  <c r="T26" i="3" s="1"/>
  <c r="AA26" i="3" s="1"/>
  <c r="H12" i="4"/>
  <c r="DG12" i="4" s="1"/>
  <c r="G26" i="5"/>
  <c r="U26" i="5" s="1"/>
  <c r="AB26" i="5" s="1"/>
  <c r="F24" i="3"/>
  <c r="T24" i="3" s="1"/>
  <c r="G26" i="3"/>
  <c r="U26" i="3" s="1"/>
  <c r="AB26" i="3" s="1"/>
  <c r="AJ28" i="5"/>
  <c r="C30" i="4"/>
  <c r="AI20" i="5"/>
  <c r="T24" i="5"/>
  <c r="AF23" i="3"/>
  <c r="AG23" i="3" s="1"/>
  <c r="B30" i="4"/>
  <c r="H30" i="3"/>
  <c r="E30" i="5"/>
  <c r="AF8" i="3"/>
  <c r="Q6" i="5"/>
  <c r="AW19" i="5"/>
  <c r="V21" i="5"/>
  <c r="AW23" i="5"/>
  <c r="BC23" i="5" s="1"/>
  <c r="BI23" i="5" s="1"/>
  <c r="V25" i="5"/>
  <c r="AC25" i="5" s="1"/>
  <c r="D15" i="7"/>
  <c r="L15" i="7" s="1"/>
  <c r="N15" i="7" s="1"/>
  <c r="D12" i="7"/>
  <c r="L12" i="7" s="1"/>
  <c r="D10" i="7"/>
  <c r="L10" i="7" s="1"/>
  <c r="P8" i="6"/>
  <c r="D18" i="7"/>
  <c r="L18" i="7" s="1"/>
  <c r="M18" i="7" s="1"/>
  <c r="L4" i="6"/>
  <c r="P9" i="6"/>
  <c r="R9" i="6" s="1"/>
  <c r="C5" i="7"/>
  <c r="D13" i="7"/>
  <c r="L13" i="7" s="1"/>
  <c r="C23" i="7"/>
  <c r="D23" i="7" s="1"/>
  <c r="L23" i="7" s="1"/>
  <c r="Q10" i="6"/>
  <c r="G18" i="6"/>
  <c r="P18" i="6" s="1"/>
  <c r="D20" i="7"/>
  <c r="L20" i="7" s="1"/>
  <c r="G22" i="6"/>
  <c r="H26" i="6"/>
  <c r="H16" i="6"/>
  <c r="G6" i="6"/>
  <c r="G9" i="6"/>
  <c r="G10" i="6"/>
  <c r="P10" i="6" s="1"/>
  <c r="R10" i="6" s="1"/>
  <c r="H12" i="6"/>
  <c r="Q12" i="6" s="1"/>
  <c r="G13" i="6"/>
  <c r="H15" i="6"/>
  <c r="L15" i="6" s="1"/>
  <c r="H18" i="6"/>
  <c r="G21" i="6"/>
  <c r="P21" i="6" s="1"/>
  <c r="K22" i="6"/>
  <c r="K25" i="6"/>
  <c r="L28" i="6"/>
  <c r="H19" i="6"/>
  <c r="C25" i="7"/>
  <c r="D25" i="7" s="1"/>
  <c r="L25" i="7" s="1"/>
  <c r="N25" i="7" s="1"/>
  <c r="H7" i="6"/>
  <c r="L7" i="6" s="1"/>
  <c r="H11" i="6"/>
  <c r="G12" i="6"/>
  <c r="H14" i="6"/>
  <c r="L14" i="6" s="1"/>
  <c r="K18" i="6"/>
  <c r="K21" i="6"/>
  <c r="D6" i="7"/>
  <c r="L6" i="7" s="1"/>
  <c r="D21" i="7"/>
  <c r="L21" i="7" s="1"/>
  <c r="N21" i="7" s="1"/>
  <c r="H6" i="6"/>
  <c r="L6" i="6" s="1"/>
  <c r="L20" i="6"/>
  <c r="H21" i="6"/>
  <c r="C26" i="7"/>
  <c r="D26" i="7" s="1"/>
  <c r="L26" i="7" s="1"/>
  <c r="H5" i="6"/>
  <c r="Q5" i="6" s="1"/>
  <c r="L17" i="6"/>
  <c r="H29" i="6"/>
  <c r="H22" i="6"/>
  <c r="L22" i="6" s="1"/>
  <c r="K26" i="6"/>
  <c r="C17" i="7"/>
  <c r="D17" i="7" s="1"/>
  <c r="L17" i="7" s="1"/>
  <c r="N17" i="7" s="1"/>
  <c r="D22" i="7"/>
  <c r="L22" i="7" s="1"/>
  <c r="M22" i="7" s="1"/>
  <c r="K4" i="6"/>
  <c r="L13" i="6"/>
  <c r="D28" i="7"/>
  <c r="L28" i="7" s="1"/>
  <c r="N28" i="7" s="1"/>
  <c r="Q16" i="6"/>
  <c r="D5" i="7"/>
  <c r="L5" i="7" s="1"/>
  <c r="N23" i="7"/>
  <c r="M23" i="7"/>
  <c r="O23" i="7" s="1"/>
  <c r="P5" i="6"/>
  <c r="R5" i="6" s="1"/>
  <c r="Q8" i="6"/>
  <c r="N20" i="7"/>
  <c r="M20" i="7"/>
  <c r="O20" i="7" s="1"/>
  <c r="M6" i="7"/>
  <c r="N6" i="7"/>
  <c r="N29" i="7"/>
  <c r="M29" i="7"/>
  <c r="O29" i="7" s="1"/>
  <c r="M15" i="7"/>
  <c r="K6" i="6"/>
  <c r="K24" i="6"/>
  <c r="N16" i="7"/>
  <c r="P27" i="6"/>
  <c r="P14" i="6"/>
  <c r="K14" i="6"/>
  <c r="M25" i="7"/>
  <c r="O25" i="7" s="1"/>
  <c r="M21" i="7"/>
  <c r="O21" i="7" s="1"/>
  <c r="L16" i="6"/>
  <c r="P22" i="6"/>
  <c r="P23" i="6"/>
  <c r="R23" i="6" s="1"/>
  <c r="P24" i="6"/>
  <c r="D7" i="7"/>
  <c r="L7" i="7" s="1"/>
  <c r="Q29" i="6"/>
  <c r="N8" i="7"/>
  <c r="P17" i="6"/>
  <c r="R17" i="6" s="1"/>
  <c r="L25" i="6"/>
  <c r="Q25" i="6"/>
  <c r="N12" i="7"/>
  <c r="M12" i="7"/>
  <c r="O12" i="7" s="1"/>
  <c r="C4" i="7"/>
  <c r="B11" i="7"/>
  <c r="B19" i="7"/>
  <c r="D19" i="7" s="1"/>
  <c r="L19" i="7" s="1"/>
  <c r="C24" i="7"/>
  <c r="D24" i="7" s="1"/>
  <c r="L24" i="7" s="1"/>
  <c r="G7" i="6"/>
  <c r="P7" i="6" s="1"/>
  <c r="G15" i="6"/>
  <c r="P15" i="6" s="1"/>
  <c r="B14" i="7"/>
  <c r="D14" i="7" s="1"/>
  <c r="L14" i="7" s="1"/>
  <c r="C27" i="7"/>
  <c r="D27" i="7" s="1"/>
  <c r="L27" i="7" s="1"/>
  <c r="G20" i="6"/>
  <c r="K20" i="6" s="1"/>
  <c r="G28" i="6"/>
  <c r="K28" i="6" s="1"/>
  <c r="C9" i="7"/>
  <c r="D9" i="7" s="1"/>
  <c r="L9" i="7" s="1"/>
  <c r="M6" i="5"/>
  <c r="W6" i="5" s="1"/>
  <c r="AD6" i="5" s="1"/>
  <c r="AO9" i="5"/>
  <c r="AJ13" i="5"/>
  <c r="M15" i="5"/>
  <c r="X15" i="5" s="1"/>
  <c r="AE15" i="5" s="1"/>
  <c r="AX16" i="5"/>
  <c r="BD16" i="5" s="1"/>
  <c r="S22" i="5"/>
  <c r="O24" i="5"/>
  <c r="W26" i="5"/>
  <c r="AD26" i="5" s="1"/>
  <c r="M26" i="5"/>
  <c r="BD26" i="5" s="1"/>
  <c r="AA5" i="5"/>
  <c r="N6" i="5"/>
  <c r="AR6" i="5" s="1"/>
  <c r="Q9" i="5"/>
  <c r="X9" i="5" s="1"/>
  <c r="AE9" i="5" s="1"/>
  <c r="N10" i="5"/>
  <c r="S12" i="5"/>
  <c r="BA13" i="5"/>
  <c r="BG22" i="5"/>
  <c r="T27" i="5"/>
  <c r="AC28" i="5"/>
  <c r="AA9" i="5"/>
  <c r="AJ12" i="5"/>
  <c r="O15" i="5"/>
  <c r="AH19" i="5"/>
  <c r="AN19" i="5" s="1"/>
  <c r="AT19" i="5" s="1"/>
  <c r="BA24" i="5"/>
  <c r="BG24" i="5" s="1"/>
  <c r="O26" i="5"/>
  <c r="AK27" i="5"/>
  <c r="M28" i="5"/>
  <c r="AR24" i="5"/>
  <c r="AJ26" i="5"/>
  <c r="AJ4" i="5"/>
  <c r="AH6" i="5"/>
  <c r="Z8" i="5"/>
  <c r="M20" i="5"/>
  <c r="W20" i="5" s="1"/>
  <c r="AD20" i="5" s="1"/>
  <c r="M22" i="5"/>
  <c r="S23" i="5"/>
  <c r="Z23" i="5" s="1"/>
  <c r="R29" i="5"/>
  <c r="AB10" i="5"/>
  <c r="AQ8" i="5"/>
  <c r="T8" i="5"/>
  <c r="AA8" i="5" s="1"/>
  <c r="Q10" i="5"/>
  <c r="Q14" i="5"/>
  <c r="W9" i="5"/>
  <c r="AD9" i="5" s="1"/>
  <c r="O13" i="5"/>
  <c r="M24" i="5"/>
  <c r="R25" i="5"/>
  <c r="Q28" i="5"/>
  <c r="Y17" i="5"/>
  <c r="M4" i="5"/>
  <c r="AL4" i="5"/>
  <c r="AR4" i="5" s="1"/>
  <c r="AP5" i="5"/>
  <c r="AM6" i="5"/>
  <c r="AS6" i="5" s="1"/>
  <c r="Q7" i="5"/>
  <c r="AW7" i="5"/>
  <c r="AX8" i="5"/>
  <c r="BD8" i="5" s="1"/>
  <c r="S9" i="5"/>
  <c r="Z9" i="5" s="1"/>
  <c r="AW9" i="5"/>
  <c r="BC9" i="5" s="1"/>
  <c r="BI9" i="5" s="1"/>
  <c r="R10" i="5"/>
  <c r="AW10" i="5"/>
  <c r="T12" i="5"/>
  <c r="Q13" i="5"/>
  <c r="AJ14" i="5"/>
  <c r="N15" i="5"/>
  <c r="M18" i="5"/>
  <c r="AQ18" i="5" s="1"/>
  <c r="X20" i="5"/>
  <c r="AE20" i="5" s="1"/>
  <c r="M21" i="5"/>
  <c r="AK21" i="5"/>
  <c r="BH22" i="5"/>
  <c r="V22" i="5"/>
  <c r="AC22" i="5" s="1"/>
  <c r="T23" i="5"/>
  <c r="AA23" i="5" s="1"/>
  <c r="M25" i="5"/>
  <c r="AI25" i="5"/>
  <c r="AO25" i="5" s="1"/>
  <c r="M27" i="5"/>
  <c r="BA27" i="5"/>
  <c r="V29" i="5"/>
  <c r="AC29" i="5" s="1"/>
  <c r="AM4" i="5"/>
  <c r="BA6" i="5"/>
  <c r="S7" i="5"/>
  <c r="AY7" i="5"/>
  <c r="AZ8" i="5"/>
  <c r="BF8" i="5" s="1"/>
  <c r="AY9" i="5"/>
  <c r="BE9" i="5" s="1"/>
  <c r="T10" i="5"/>
  <c r="AX10" i="5"/>
  <c r="BD10" i="5" s="1"/>
  <c r="R11" i="5"/>
  <c r="S13" i="5"/>
  <c r="U16" i="5"/>
  <c r="Q17" i="5"/>
  <c r="N18" i="5"/>
  <c r="O20" i="5"/>
  <c r="AS20" i="5" s="1"/>
  <c r="AX21" i="5"/>
  <c r="AL22" i="5"/>
  <c r="AR22" i="5" s="1"/>
  <c r="AH23" i="5"/>
  <c r="AN23" i="5" s="1"/>
  <c r="AT23" i="5" s="1"/>
  <c r="AJ25" i="5"/>
  <c r="R26" i="5"/>
  <c r="N27" i="5"/>
  <c r="AK29" i="5"/>
  <c r="AQ29" i="5" s="1"/>
  <c r="O4" i="5"/>
  <c r="AC4" i="5" s="1"/>
  <c r="AW4" i="5"/>
  <c r="V7" i="5"/>
  <c r="BB7" i="5"/>
  <c r="BH7" i="5" s="1"/>
  <c r="R8" i="5"/>
  <c r="BA9" i="5"/>
  <c r="BG9" i="5" s="1"/>
  <c r="AZ10" i="5"/>
  <c r="S11" i="5"/>
  <c r="AH12" i="5"/>
  <c r="M13" i="5"/>
  <c r="U13" i="5"/>
  <c r="AB13" i="5" s="1"/>
  <c r="AM14" i="5"/>
  <c r="AI16" i="5"/>
  <c r="AO16" i="5" s="1"/>
  <c r="AR17" i="5"/>
  <c r="U17" i="5"/>
  <c r="AB17" i="5" s="1"/>
  <c r="T19" i="5"/>
  <c r="AA19" i="5" s="1"/>
  <c r="AO21" i="5"/>
  <c r="O21" i="5"/>
  <c r="AC21" i="5" s="1"/>
  <c r="AY22" i="5"/>
  <c r="BE22" i="5" s="1"/>
  <c r="AM23" i="5"/>
  <c r="AS23" i="5" s="1"/>
  <c r="Q24" i="5"/>
  <c r="X24" i="5" s="1"/>
  <c r="AE24" i="5" s="1"/>
  <c r="S26" i="5"/>
  <c r="O27" i="5"/>
  <c r="BB28" i="5"/>
  <c r="BH28" i="5" s="1"/>
  <c r="AM29" i="5"/>
  <c r="AY4" i="5"/>
  <c r="BE4" i="5" s="1"/>
  <c r="BH5" i="5"/>
  <c r="V5" i="5"/>
  <c r="AC5" i="5" s="1"/>
  <c r="AS15" i="5"/>
  <c r="V17" i="5"/>
  <c r="AC17" i="5" s="1"/>
  <c r="S18" i="5"/>
  <c r="W23" i="5"/>
  <c r="AD23" i="5" s="1"/>
  <c r="AS24" i="5"/>
  <c r="Z25" i="5"/>
  <c r="AY25" i="5"/>
  <c r="AY11" i="5"/>
  <c r="AA4" i="5"/>
  <c r="Q4" i="5"/>
  <c r="BB4" i="5"/>
  <c r="BH4" i="5" s="1"/>
  <c r="R6" i="5"/>
  <c r="M7" i="5"/>
  <c r="AP7" i="5" s="1"/>
  <c r="M10" i="5"/>
  <c r="M11" i="5"/>
  <c r="AI11" i="5"/>
  <c r="R14" i="5"/>
  <c r="AX14" i="5"/>
  <c r="BA16" i="5"/>
  <c r="M17" i="5"/>
  <c r="AJ17" i="5"/>
  <c r="AP17" i="5" s="1"/>
  <c r="V18" i="5"/>
  <c r="AC18" i="5" s="1"/>
  <c r="AM19" i="5"/>
  <c r="AS19" i="5" s="1"/>
  <c r="U20" i="5"/>
  <c r="AB20" i="5" s="1"/>
  <c r="Q21" i="5"/>
  <c r="X23" i="5"/>
  <c r="AE23" i="5" s="1"/>
  <c r="N23" i="5"/>
  <c r="AZ23" i="5"/>
  <c r="BF23" i="5" s="1"/>
  <c r="U24" i="5"/>
  <c r="AB24" i="5" s="1"/>
  <c r="Q25" i="5"/>
  <c r="X25" i="5" s="1"/>
  <c r="AE25" i="5" s="1"/>
  <c r="BA25" i="5"/>
  <c r="BG25" i="5" s="1"/>
  <c r="AH26" i="5"/>
  <c r="AN26" i="5" s="1"/>
  <c r="AT26" i="5" s="1"/>
  <c r="S27" i="5"/>
  <c r="BG4" i="5"/>
  <c r="U4" i="5"/>
  <c r="AB4" i="5" s="1"/>
  <c r="W5" i="5"/>
  <c r="AD5" i="5" s="1"/>
  <c r="AM5" i="5"/>
  <c r="AS5" i="5" s="1"/>
  <c r="T6" i="5"/>
  <c r="AA6" i="5" s="1"/>
  <c r="AN8" i="5"/>
  <c r="AT8" i="5" s="1"/>
  <c r="N8" i="5"/>
  <c r="BG8" i="5" s="1"/>
  <c r="AX12" i="5"/>
  <c r="AO13" i="5"/>
  <c r="AW13" i="5"/>
  <c r="BH15" i="5"/>
  <c r="N16" i="5"/>
  <c r="AR16" i="5" s="1"/>
  <c r="AW17" i="5"/>
  <c r="BC17" i="5" s="1"/>
  <c r="BI17" i="5" s="1"/>
  <c r="BG21" i="5"/>
  <c r="R21" i="5"/>
  <c r="AI24" i="5"/>
  <c r="AR25" i="5"/>
  <c r="AB27" i="5"/>
  <c r="O29" i="5"/>
  <c r="BH29" i="5" s="1"/>
  <c r="BG13" i="5"/>
  <c r="AN5" i="5"/>
  <c r="AT5" i="5" s="1"/>
  <c r="AY5" i="5"/>
  <c r="BE5" i="5" s="1"/>
  <c r="V6" i="5"/>
  <c r="AC6" i="5" s="1"/>
  <c r="Q12" i="5"/>
  <c r="V14" i="5"/>
  <c r="Y16" i="5"/>
  <c r="O16" i="5"/>
  <c r="AY18" i="5"/>
  <c r="AZ19" i="5"/>
  <c r="BF19" i="5" s="1"/>
  <c r="U21" i="5"/>
  <c r="AB21" i="5" s="1"/>
  <c r="R22" i="5"/>
  <c r="AP23" i="5"/>
  <c r="AX24" i="5"/>
  <c r="U25" i="5"/>
  <c r="AB25" i="5" s="1"/>
  <c r="N26" i="5"/>
  <c r="AZ26" i="5"/>
  <c r="BF26" i="5" s="1"/>
  <c r="AI27" i="5"/>
  <c r="AR5" i="5"/>
  <c r="BF6" i="5"/>
  <c r="BH6" i="5"/>
  <c r="BC10" i="5"/>
  <c r="BI10" i="5" s="1"/>
  <c r="AP10" i="5"/>
  <c r="BC6" i="5"/>
  <c r="BI6" i="5" s="1"/>
  <c r="AZ4" i="5"/>
  <c r="BA5" i="5"/>
  <c r="BG5" i="5" s="1"/>
  <c r="U6" i="5"/>
  <c r="V8" i="5"/>
  <c r="AC8" i="5" s="1"/>
  <c r="AM8" i="5"/>
  <c r="AS8" i="5" s="1"/>
  <c r="BB8" i="5"/>
  <c r="BH8" i="5" s="1"/>
  <c r="Y8" i="5"/>
  <c r="AP9" i="5"/>
  <c r="AY10" i="5"/>
  <c r="S10" i="5"/>
  <c r="Z10" i="5" s="1"/>
  <c r="M12" i="5"/>
  <c r="AR13" i="5"/>
  <c r="G30" i="5"/>
  <c r="R19" i="5"/>
  <c r="Y19" i="5" s="1"/>
  <c r="AI19" i="5"/>
  <c r="AO19" i="5" s="1"/>
  <c r="AX19" i="5"/>
  <c r="BD19" i="5" s="1"/>
  <c r="AI4" i="5"/>
  <c r="Q5" i="5"/>
  <c r="X5" i="5" s="1"/>
  <c r="AE5" i="5" s="1"/>
  <c r="AO6" i="5"/>
  <c r="AK6" i="5"/>
  <c r="AQ6" i="5" s="1"/>
  <c r="AX6" i="5"/>
  <c r="BB9" i="5"/>
  <c r="O10" i="5"/>
  <c r="X11" i="5"/>
  <c r="AE11" i="5" s="1"/>
  <c r="N12" i="5"/>
  <c r="AZ13" i="5"/>
  <c r="T13" i="5"/>
  <c r="AK13" i="5"/>
  <c r="W13" i="5"/>
  <c r="AD13" i="5" s="1"/>
  <c r="O14" i="5"/>
  <c r="N14" i="5"/>
  <c r="BG14" i="5" s="1"/>
  <c r="M14" i="5"/>
  <c r="AN14" i="5" s="1"/>
  <c r="AT14" i="5" s="1"/>
  <c r="S5" i="5"/>
  <c r="Z5" i="5" s="1"/>
  <c r="AY6" i="5"/>
  <c r="S6" i="5"/>
  <c r="Z6" i="5" s="1"/>
  <c r="AO8" i="5"/>
  <c r="V9" i="5"/>
  <c r="AC9" i="5" s="1"/>
  <c r="BA10" i="5"/>
  <c r="BG10" i="5" s="1"/>
  <c r="AL10" i="5"/>
  <c r="AR10" i="5" s="1"/>
  <c r="BH14" i="5"/>
  <c r="R4" i="5"/>
  <c r="AK4" i="5"/>
  <c r="T7" i="5"/>
  <c r="AW8" i="5"/>
  <c r="BC8" i="5" s="1"/>
  <c r="BI8" i="5" s="1"/>
  <c r="Q8" i="5"/>
  <c r="X8" i="5" s="1"/>
  <c r="AE8" i="5" s="1"/>
  <c r="U8" i="5"/>
  <c r="AX9" i="5"/>
  <c r="BD9" i="5" s="1"/>
  <c r="R9" i="5"/>
  <c r="Y9" i="5" s="1"/>
  <c r="AZ11" i="5"/>
  <c r="T11" i="5"/>
  <c r="AM13" i="5"/>
  <c r="BB13" i="5"/>
  <c r="U5" i="5"/>
  <c r="AB5" i="5" s="1"/>
  <c r="AI5" i="5"/>
  <c r="AO5" i="5" s="1"/>
  <c r="AC7" i="5"/>
  <c r="AK7" i="5"/>
  <c r="AL8" i="5"/>
  <c r="AQ10" i="5"/>
  <c r="AO10" i="5"/>
  <c r="AW5" i="5"/>
  <c r="BC5" i="5" s="1"/>
  <c r="BI5" i="5" s="1"/>
  <c r="AX7" i="5"/>
  <c r="AI7" i="5"/>
  <c r="AY8" i="5"/>
  <c r="BE8" i="5" s="1"/>
  <c r="AJ8" i="5"/>
  <c r="AP8" i="5" s="1"/>
  <c r="AZ9" i="5"/>
  <c r="BF9" i="5" s="1"/>
  <c r="AK9" i="5"/>
  <c r="AQ9" i="5" s="1"/>
  <c r="BB11" i="5"/>
  <c r="BH11" i="5" s="1"/>
  <c r="AK11" i="5"/>
  <c r="BA12" i="5"/>
  <c r="U12" i="5"/>
  <c r="V13" i="5"/>
  <c r="AX13" i="5"/>
  <c r="BD13" i="5" s="1"/>
  <c r="R13" i="5"/>
  <c r="AZ5" i="5"/>
  <c r="BF5" i="5" s="1"/>
  <c r="AK5" i="5"/>
  <c r="AQ5" i="5" s="1"/>
  <c r="AX5" i="5"/>
  <c r="BD5" i="5" s="1"/>
  <c r="AL12" i="5"/>
  <c r="BE13" i="5"/>
  <c r="T17" i="5"/>
  <c r="AA17" i="5" s="1"/>
  <c r="AK17" i="5"/>
  <c r="AQ17" i="5" s="1"/>
  <c r="AZ17" i="5"/>
  <c r="BF17" i="5" s="1"/>
  <c r="S16" i="5"/>
  <c r="Z16" i="5" s="1"/>
  <c r="AJ16" i="5"/>
  <c r="AP16" i="5" s="1"/>
  <c r="AY16" i="5"/>
  <c r="BE16" i="5" s="1"/>
  <c r="Z19" i="5"/>
  <c r="AP21" i="5"/>
  <c r="R23" i="5"/>
  <c r="Y23" i="5" s="1"/>
  <c r="AI23" i="5"/>
  <c r="AO23" i="5" s="1"/>
  <c r="AX23" i="5"/>
  <c r="BD23" i="5" s="1"/>
  <c r="AA24" i="5"/>
  <c r="BC26" i="5"/>
  <c r="BI26" i="5" s="1"/>
  <c r="AP29" i="5"/>
  <c r="AW11" i="5"/>
  <c r="S14" i="5"/>
  <c r="AL14" i="5"/>
  <c r="R15" i="5"/>
  <c r="AI15" i="5"/>
  <c r="AX15" i="5"/>
  <c r="BD15" i="5" s="1"/>
  <c r="AW15" i="5"/>
  <c r="AA16" i="5"/>
  <c r="W16" i="5"/>
  <c r="AD16" i="5" s="1"/>
  <c r="AS17" i="5"/>
  <c r="AQ19" i="5"/>
  <c r="Y20" i="5"/>
  <c r="BF21" i="5"/>
  <c r="BC25" i="5"/>
  <c r="BI25" i="5" s="1"/>
  <c r="BF27" i="5"/>
  <c r="BF29" i="5"/>
  <c r="S15" i="5"/>
  <c r="AJ15" i="5"/>
  <c r="AY15" i="5"/>
  <c r="S20" i="5"/>
  <c r="Z20" i="5" s="1"/>
  <c r="AJ20" i="5"/>
  <c r="AY20" i="5"/>
  <c r="BD25" i="5"/>
  <c r="AP25" i="5"/>
  <c r="N28" i="5"/>
  <c r="U14" i="5"/>
  <c r="F30" i="5"/>
  <c r="AK15" i="5"/>
  <c r="T15" i="5"/>
  <c r="AM16" i="5"/>
  <c r="BB16" i="5"/>
  <c r="BH16" i="5" s="1"/>
  <c r="V16" i="5"/>
  <c r="BE18" i="5"/>
  <c r="BH19" i="5"/>
  <c r="Q22" i="5"/>
  <c r="X22" i="5" s="1"/>
  <c r="AE22" i="5" s="1"/>
  <c r="AH22" i="5"/>
  <c r="AW22" i="5"/>
  <c r="BC22" i="5" s="1"/>
  <c r="BI22" i="5" s="1"/>
  <c r="BC24" i="5"/>
  <c r="BI24" i="5" s="1"/>
  <c r="AO24" i="5"/>
  <c r="V27" i="5"/>
  <c r="AM27" i="5"/>
  <c r="AS27" i="5" s="1"/>
  <c r="H30" i="5"/>
  <c r="BB27" i="5"/>
  <c r="AH11" i="5"/>
  <c r="AI12" i="5"/>
  <c r="AL15" i="5"/>
  <c r="AR15" i="5" s="1"/>
  <c r="BA15" i="5"/>
  <c r="BG15" i="5" s="1"/>
  <c r="U15" i="5"/>
  <c r="AN17" i="5"/>
  <c r="AT17" i="5" s="1"/>
  <c r="Q18" i="5"/>
  <c r="X18" i="5" s="1"/>
  <c r="AE18" i="5" s="1"/>
  <c r="AH18" i="5"/>
  <c r="AW18" i="5"/>
  <c r="BC19" i="5"/>
  <c r="BI19" i="5" s="1"/>
  <c r="AR20" i="5"/>
  <c r="BH23" i="5"/>
  <c r="Y24" i="5"/>
  <c r="T25" i="5"/>
  <c r="AA25" i="5" s="1"/>
  <c r="AK25" i="5"/>
  <c r="AQ25" i="5" s="1"/>
  <c r="AZ25" i="5"/>
  <c r="BF25" i="5" s="1"/>
  <c r="BE25" i="5"/>
  <c r="AL26" i="5"/>
  <c r="S24" i="5"/>
  <c r="Z24" i="5" s="1"/>
  <c r="AJ24" i="5"/>
  <c r="AP24" i="5" s="1"/>
  <c r="AY24" i="5"/>
  <c r="BE24" i="5" s="1"/>
  <c r="BD24" i="5"/>
  <c r="AH15" i="5"/>
  <c r="BC16" i="5"/>
  <c r="BI16" i="5" s="1"/>
  <c r="Z17" i="5"/>
  <c r="X19" i="5"/>
  <c r="AE19" i="5" s="1"/>
  <c r="AN21" i="5"/>
  <c r="AT21" i="5" s="1"/>
  <c r="AQ22" i="5"/>
  <c r="Y22" i="5"/>
  <c r="AQ24" i="5"/>
  <c r="W24" i="5"/>
  <c r="AD24" i="5" s="1"/>
  <c r="AS25" i="5"/>
  <c r="X29" i="5"/>
  <c r="AE29" i="5" s="1"/>
  <c r="AX17" i="5"/>
  <c r="BD17" i="5" s="1"/>
  <c r="T18" i="5"/>
  <c r="AM18" i="5"/>
  <c r="U19" i="5"/>
  <c r="AB19" i="5" s="1"/>
  <c r="V20" i="5"/>
  <c r="AC20" i="5" s="1"/>
  <c r="AW20" i="5"/>
  <c r="BC20" i="5" s="1"/>
  <c r="BI20" i="5" s="1"/>
  <c r="S21" i="5"/>
  <c r="AL21" i="5"/>
  <c r="AR21" i="5" s="1"/>
  <c r="T22" i="5"/>
  <c r="AA22" i="5" s="1"/>
  <c r="AM22" i="5"/>
  <c r="AS22" i="5" s="1"/>
  <c r="U23" i="5"/>
  <c r="AB23" i="5" s="1"/>
  <c r="V24" i="5"/>
  <c r="AC24" i="5" s="1"/>
  <c r="AH25" i="5"/>
  <c r="AN25" i="5" s="1"/>
  <c r="AT25" i="5" s="1"/>
  <c r="AI26" i="5"/>
  <c r="AO26" i="5" s="1"/>
  <c r="Q27" i="5"/>
  <c r="AJ27" i="5"/>
  <c r="R28" i="5"/>
  <c r="Y28" i="5" s="1"/>
  <c r="AK28" i="5"/>
  <c r="S29" i="5"/>
  <c r="AL29" i="5"/>
  <c r="AR29" i="5" s="1"/>
  <c r="V15" i="5"/>
  <c r="AC15" i="5" s="1"/>
  <c r="AH16" i="5"/>
  <c r="AN16" i="5" s="1"/>
  <c r="AT16" i="5" s="1"/>
  <c r="AZ16" i="5"/>
  <c r="BF16" i="5" s="1"/>
  <c r="AI17" i="5"/>
  <c r="AO17" i="5" s="1"/>
  <c r="AY17" i="5"/>
  <c r="BE17" i="5" s="1"/>
  <c r="AX18" i="5"/>
  <c r="V19" i="5"/>
  <c r="AC19" i="5" s="1"/>
  <c r="AY19" i="5"/>
  <c r="BE19" i="5" s="1"/>
  <c r="AH20" i="5"/>
  <c r="AN20" i="5" s="1"/>
  <c r="AT20" i="5" s="1"/>
  <c r="AX20" i="5"/>
  <c r="BD20" i="5" s="1"/>
  <c r="T21" i="5"/>
  <c r="AM21" i="5"/>
  <c r="AS21" i="5" s="1"/>
  <c r="AW21" i="5"/>
  <c r="BC21" i="5" s="1"/>
  <c r="BI21" i="5" s="1"/>
  <c r="U22" i="5"/>
  <c r="AB22" i="5" s="1"/>
  <c r="AX22" i="5"/>
  <c r="V23" i="5"/>
  <c r="AC23" i="5" s="1"/>
  <c r="AY23" i="5"/>
  <c r="BE23" i="5" s="1"/>
  <c r="AH24" i="5"/>
  <c r="AN24" i="5" s="1"/>
  <c r="AT24" i="5" s="1"/>
  <c r="AZ24" i="5"/>
  <c r="BF24" i="5" s="1"/>
  <c r="Q26" i="5"/>
  <c r="X26" i="5" s="1"/>
  <c r="AE26" i="5" s="1"/>
  <c r="R27" i="5"/>
  <c r="Y27" i="5" s="1"/>
  <c r="S28" i="5"/>
  <c r="T29" i="5"/>
  <c r="AW29" i="5"/>
  <c r="BC29" i="5" s="1"/>
  <c r="BI29" i="5" s="1"/>
  <c r="BB25" i="5"/>
  <c r="BH25" i="5" s="1"/>
  <c r="AK26" i="5"/>
  <c r="AQ26" i="5" s="1"/>
  <c r="AL27" i="5"/>
  <c r="T28" i="5"/>
  <c r="AA28" i="5" s="1"/>
  <c r="AM28" i="5"/>
  <c r="AS28" i="5" s="1"/>
  <c r="AW28" i="5"/>
  <c r="U29" i="5"/>
  <c r="AX29" i="5"/>
  <c r="BD29" i="5" s="1"/>
  <c r="Q16" i="5"/>
  <c r="X16" i="5" s="1"/>
  <c r="AE16" i="5" s="1"/>
  <c r="BA17" i="5"/>
  <c r="BG17" i="5" s="1"/>
  <c r="AZ18" i="5"/>
  <c r="BA19" i="5"/>
  <c r="BG19" i="5" s="1"/>
  <c r="AZ20" i="5"/>
  <c r="BF20" i="5" s="1"/>
  <c r="AY21" i="5"/>
  <c r="BE21" i="5" s="1"/>
  <c r="AZ22" i="5"/>
  <c r="BA23" i="5"/>
  <c r="BG23" i="5" s="1"/>
  <c r="BB24" i="5"/>
  <c r="BH24" i="5" s="1"/>
  <c r="AW27" i="5"/>
  <c r="AX28" i="5"/>
  <c r="AY29" i="5"/>
  <c r="BE29" i="5" s="1"/>
  <c r="AK16" i="5"/>
  <c r="AQ16" i="5" s="1"/>
  <c r="BB17" i="5"/>
  <c r="BH17" i="5" s="1"/>
  <c r="AI18" i="5"/>
  <c r="AJ19" i="5"/>
  <c r="AP19" i="5" s="1"/>
  <c r="AK20" i="5"/>
  <c r="AQ20" i="5" s="1"/>
  <c r="BA20" i="5"/>
  <c r="BG20" i="5" s="1"/>
  <c r="AH29" i="5"/>
  <c r="BB20" i="5"/>
  <c r="BH20" i="5" s="1"/>
  <c r="N8" i="4"/>
  <c r="BL8" i="4" s="1"/>
  <c r="M22" i="4"/>
  <c r="CQ22" i="4" s="1"/>
  <c r="CX22" i="4" s="1"/>
  <c r="M20" i="4"/>
  <c r="CQ20" i="4" s="1"/>
  <c r="CX20" i="4" s="1"/>
  <c r="O15" i="4"/>
  <c r="O17" i="4"/>
  <c r="BM17" i="4" s="1"/>
  <c r="AN5" i="4"/>
  <c r="AU5" i="4" s="1"/>
  <c r="M29" i="4"/>
  <c r="N29" i="4"/>
  <c r="AT29" i="4" s="1"/>
  <c r="O29" i="4"/>
  <c r="BM29" i="4" s="1"/>
  <c r="M9" i="4"/>
  <c r="N9" i="4"/>
  <c r="M13" i="4"/>
  <c r="Y13" i="4" s="1"/>
  <c r="M10" i="4"/>
  <c r="AS10" i="4" s="1"/>
  <c r="N19" i="4"/>
  <c r="AT19" i="4" s="1"/>
  <c r="AP27" i="4"/>
  <c r="AW27" i="4" s="1"/>
  <c r="AJ4" i="4"/>
  <c r="N10" i="4"/>
  <c r="M25" i="4"/>
  <c r="DI25" i="4" s="1"/>
  <c r="BI27" i="4"/>
  <c r="O10" i="4"/>
  <c r="CE10" i="4" s="1"/>
  <c r="BS22" i="4"/>
  <c r="BZ22" i="4" s="1"/>
  <c r="CG22" i="4" s="1"/>
  <c r="CB27" i="4"/>
  <c r="CE9" i="4"/>
  <c r="O25" i="4"/>
  <c r="CU27" i="4"/>
  <c r="N11" i="4"/>
  <c r="M15" i="4"/>
  <c r="AQ15" i="4" s="1"/>
  <c r="N17" i="4"/>
  <c r="O20" i="4"/>
  <c r="DM20" i="4" s="1"/>
  <c r="O8" i="4"/>
  <c r="AU8" i="4" s="1"/>
  <c r="T10" i="4"/>
  <c r="O27" i="4"/>
  <c r="CW27" i="4" s="1"/>
  <c r="AL15" i="4"/>
  <c r="AN25" i="4"/>
  <c r="BX21" i="4"/>
  <c r="BS25" i="4"/>
  <c r="BD4" i="4"/>
  <c r="M14" i="4"/>
  <c r="CO21" i="4"/>
  <c r="DL27" i="4"/>
  <c r="CO11" i="4"/>
  <c r="CV11" i="4" s="1"/>
  <c r="N14" i="4"/>
  <c r="O7" i="4"/>
  <c r="DM7" i="4" s="1"/>
  <c r="O14" i="4"/>
  <c r="AU14" i="4" s="1"/>
  <c r="CL17" i="4"/>
  <c r="CJ18" i="4"/>
  <c r="AK20" i="4"/>
  <c r="AR20" i="4" s="1"/>
  <c r="N25" i="4"/>
  <c r="AT25" i="4" s="1"/>
  <c r="O4" i="4"/>
  <c r="M8" i="4"/>
  <c r="BY8" i="4" s="1"/>
  <c r="CF8" i="4" s="1"/>
  <c r="S8" i="4"/>
  <c r="BV4" i="4"/>
  <c r="BA5" i="4"/>
  <c r="CK6" i="4"/>
  <c r="AJ7" i="4"/>
  <c r="AM8" i="4"/>
  <c r="AT8" i="4" s="1"/>
  <c r="Q9" i="4"/>
  <c r="AK10" i="4"/>
  <c r="M12" i="4"/>
  <c r="BY12" i="4" s="1"/>
  <c r="CF12" i="4" s="1"/>
  <c r="BR15" i="4"/>
  <c r="BY15" i="4" s="1"/>
  <c r="CF15" i="4" s="1"/>
  <c r="BX16" i="4"/>
  <c r="S18" i="4"/>
  <c r="AI19" i="4"/>
  <c r="AM24" i="4"/>
  <c r="BG26" i="4"/>
  <c r="BN26" i="4" s="1"/>
  <c r="M26" i="4"/>
  <c r="R27" i="4"/>
  <c r="Y27" i="4" s="1"/>
  <c r="BW4" i="4"/>
  <c r="BX5" i="4"/>
  <c r="CE5" i="4" s="1"/>
  <c r="AL7" i="4"/>
  <c r="BS8" i="4"/>
  <c r="U9" i="4"/>
  <c r="AB9" i="4" s="1"/>
  <c r="N12" i="4"/>
  <c r="CD12" i="4" s="1"/>
  <c r="S14" i="4"/>
  <c r="BW15" i="4"/>
  <c r="CP16" i="4"/>
  <c r="AM18" i="4"/>
  <c r="BS19" i="4"/>
  <c r="N22" i="4"/>
  <c r="CV22" i="4" s="1"/>
  <c r="CJ24" i="4"/>
  <c r="BZ26" i="4"/>
  <c r="CG26" i="4" s="1"/>
  <c r="N26" i="4"/>
  <c r="AK27" i="4"/>
  <c r="AR27" i="4" s="1"/>
  <c r="CM5" i="4"/>
  <c r="AZ6" i="4"/>
  <c r="BV7" i="4"/>
  <c r="BU8" i="4"/>
  <c r="BB9" i="4"/>
  <c r="BI9" i="4" s="1"/>
  <c r="O12" i="4"/>
  <c r="N13" i="4"/>
  <c r="AT13" i="4" s="1"/>
  <c r="BB14" i="4"/>
  <c r="DD15" i="4"/>
  <c r="BC17" i="4"/>
  <c r="DB17" i="4"/>
  <c r="BE18" i="4"/>
  <c r="CL19" i="4"/>
  <c r="P21" i="4"/>
  <c r="O22" i="4"/>
  <c r="CW22" i="4" s="1"/>
  <c r="BD23" i="4"/>
  <c r="O26" i="4"/>
  <c r="CP27" i="4"/>
  <c r="CO4" i="4"/>
  <c r="M5" i="4"/>
  <c r="BX7" i="4"/>
  <c r="DC8" i="4"/>
  <c r="BS9" i="4"/>
  <c r="O11" i="4"/>
  <c r="O13" i="4"/>
  <c r="BM13" i="4" s="1"/>
  <c r="CL14" i="4"/>
  <c r="BA20" i="4"/>
  <c r="BH20" i="4" s="1"/>
  <c r="BO20" i="4" s="1"/>
  <c r="AI21" i="4"/>
  <c r="BV23" i="4"/>
  <c r="DJ26" i="4"/>
  <c r="P26" i="4"/>
  <c r="W26" i="4" s="1"/>
  <c r="AD26" i="4" s="1"/>
  <c r="DM27" i="4"/>
  <c r="CL29" i="4"/>
  <c r="CS29" i="4" s="1"/>
  <c r="AK12" i="4"/>
  <c r="CN12" i="4"/>
  <c r="BS13" i="4"/>
  <c r="M19" i="4"/>
  <c r="DI19" i="4" s="1"/>
  <c r="DC20" i="4"/>
  <c r="DI20" i="4" s="1"/>
  <c r="AZ21" i="4"/>
  <c r="R22" i="4"/>
  <c r="Y22" i="4" s="1"/>
  <c r="CP23" i="4"/>
  <c r="DK26" i="4"/>
  <c r="BB26" i="4"/>
  <c r="BI26" i="4" s="1"/>
  <c r="AL4" i="4"/>
  <c r="BT6" i="4"/>
  <c r="M7" i="4"/>
  <c r="CU7" i="4" s="1"/>
  <c r="AM11" i="4"/>
  <c r="AT11" i="4" s="1"/>
  <c r="O16" i="4"/>
  <c r="BW21" i="4"/>
  <c r="AZ22" i="4"/>
  <c r="DL26" i="4"/>
  <c r="P6" i="4"/>
  <c r="N7" i="4"/>
  <c r="DL7" i="4" s="1"/>
  <c r="AK16" i="4"/>
  <c r="AK17" i="4"/>
  <c r="O19" i="4"/>
  <c r="T20" i="4"/>
  <c r="AA20" i="4" s="1"/>
  <c r="BS20" i="4"/>
  <c r="BZ20" i="4" s="1"/>
  <c r="CG20" i="4" s="1"/>
  <c r="BE28" i="4"/>
  <c r="CD17" i="4"/>
  <c r="AJ13" i="4"/>
  <c r="BA4" i="4"/>
  <c r="CK4" i="4"/>
  <c r="S5" i="4"/>
  <c r="Z5" i="4" s="1"/>
  <c r="AZ5" i="4"/>
  <c r="CJ5" i="4"/>
  <c r="Q6" i="4"/>
  <c r="BU6" i="4"/>
  <c r="CL6" i="4"/>
  <c r="AK7" i="4"/>
  <c r="BW7" i="4"/>
  <c r="AK8" i="4"/>
  <c r="BT8" i="4"/>
  <c r="V9" i="4"/>
  <c r="AC9" i="4" s="1"/>
  <c r="BU9" i="4"/>
  <c r="BS11" i="4"/>
  <c r="AM12" i="4"/>
  <c r="BS12" i="4"/>
  <c r="BT13" i="4"/>
  <c r="DD13" i="4"/>
  <c r="V14" i="4"/>
  <c r="BC14" i="4"/>
  <c r="BJ14" i="4" s="1"/>
  <c r="CM14" i="4"/>
  <c r="CT14" i="4" s="1"/>
  <c r="P15" i="4"/>
  <c r="AM15" i="4"/>
  <c r="CJ15" i="4"/>
  <c r="BD16" i="4"/>
  <c r="M17" i="4"/>
  <c r="CM17" i="4"/>
  <c r="M18" i="4"/>
  <c r="CP19" i="4"/>
  <c r="BC20" i="4"/>
  <c r="BJ20" i="4" s="1"/>
  <c r="DE20" i="4"/>
  <c r="DK20" i="4" s="1"/>
  <c r="S21" i="4"/>
  <c r="U22" i="4"/>
  <c r="BW22" i="4"/>
  <c r="AJ23" i="4"/>
  <c r="M24" i="4"/>
  <c r="W24" i="4" s="1"/>
  <c r="AD24" i="4" s="1"/>
  <c r="BE24" i="4"/>
  <c r="AH26" i="4"/>
  <c r="AO26" i="4" s="1"/>
  <c r="AV26" i="4" s="1"/>
  <c r="CM26" i="4"/>
  <c r="CT26" i="4" s="1"/>
  <c r="AJ27" i="4"/>
  <c r="AQ27" i="4" s="1"/>
  <c r="M28" i="4"/>
  <c r="DH28" i="4" s="1"/>
  <c r="DN28" i="4" s="1"/>
  <c r="BF28" i="4"/>
  <c r="U29" i="4"/>
  <c r="DK29" i="4"/>
  <c r="Q4" i="4"/>
  <c r="T5" i="4"/>
  <c r="AA5" i="4" s="1"/>
  <c r="U6" i="4"/>
  <c r="BW6" i="4"/>
  <c r="AI9" i="4"/>
  <c r="BW9" i="4"/>
  <c r="P10" i="4"/>
  <c r="BB10" i="4"/>
  <c r="Q11" i="4"/>
  <c r="BW11" i="4"/>
  <c r="CD11" i="4" s="1"/>
  <c r="BU12" i="4"/>
  <c r="AN13" i="4"/>
  <c r="CP14" i="4"/>
  <c r="Q15" i="4"/>
  <c r="BC15" i="4"/>
  <c r="CK15" i="4"/>
  <c r="CR15" i="4" s="1"/>
  <c r="CY15" i="4" s="1"/>
  <c r="R16" i="4"/>
  <c r="BF16" i="4"/>
  <c r="AI17" i="4"/>
  <c r="AZ18" i="4"/>
  <c r="AN19" i="4"/>
  <c r="AU19" i="4" s="1"/>
  <c r="N20" i="4"/>
  <c r="AH20" i="4"/>
  <c r="AO20" i="4" s="1"/>
  <c r="AV20" i="4" s="1"/>
  <c r="CK20" i="4"/>
  <c r="CR20" i="4" s="1"/>
  <c r="CY20" i="4" s="1"/>
  <c r="T21" i="4"/>
  <c r="BE21" i="4"/>
  <c r="V22" i="4"/>
  <c r="DF22" i="4"/>
  <c r="AN23" i="4"/>
  <c r="N24" i="4"/>
  <c r="BF24" i="4"/>
  <c r="CK25" i="4"/>
  <c r="AI26" i="4"/>
  <c r="AP26" i="4" s="1"/>
  <c r="AW26" i="4" s="1"/>
  <c r="CN26" i="4"/>
  <c r="CU26" i="4" s="1"/>
  <c r="N28" i="4"/>
  <c r="BX28" i="4"/>
  <c r="V29" i="4"/>
  <c r="AC29" i="4" s="1"/>
  <c r="DC13" i="4"/>
  <c r="R4" i="4"/>
  <c r="V5" i="4"/>
  <c r="AC5" i="4" s="1"/>
  <c r="BC5" i="4"/>
  <c r="V6" i="4"/>
  <c r="AC6" i="4" s="1"/>
  <c r="BB6" i="4"/>
  <c r="BX6" i="4"/>
  <c r="CE6" i="4" s="1"/>
  <c r="Q7" i="4"/>
  <c r="X7" i="4" s="1"/>
  <c r="AE7" i="4" s="1"/>
  <c r="AN7" i="4"/>
  <c r="BX8" i="4"/>
  <c r="CE8" i="4" s="1"/>
  <c r="AM9" i="4"/>
  <c r="CK9" i="4"/>
  <c r="CR9" i="4" s="1"/>
  <c r="CY9" i="4" s="1"/>
  <c r="R10" i="4"/>
  <c r="BU10" i="4"/>
  <c r="BL11" i="4"/>
  <c r="R11" i="4"/>
  <c r="CK11" i="4"/>
  <c r="P12" i="4"/>
  <c r="W12" i="4" s="1"/>
  <c r="AD12" i="4" s="1"/>
  <c r="DD12" i="4"/>
  <c r="DJ12" i="4" s="1"/>
  <c r="P13" i="4"/>
  <c r="AZ13" i="4"/>
  <c r="CJ13" i="4"/>
  <c r="AH14" i="4"/>
  <c r="AO14" i="4" s="1"/>
  <c r="AV14" i="4" s="1"/>
  <c r="BT14" i="4"/>
  <c r="CA14" i="4" s="1"/>
  <c r="T15" i="4"/>
  <c r="BD15" i="4"/>
  <c r="BK15" i="4" s="1"/>
  <c r="CN15" i="4"/>
  <c r="S16" i="4"/>
  <c r="BT16" i="4"/>
  <c r="BS17" i="4"/>
  <c r="DI18" i="4"/>
  <c r="O18" i="4"/>
  <c r="AI20" i="4"/>
  <c r="AP20" i="4" s="1"/>
  <c r="AW20" i="4" s="1"/>
  <c r="U21" i="4"/>
  <c r="BU21" i="4"/>
  <c r="AI22" i="4"/>
  <c r="AP22" i="4" s="1"/>
  <c r="AW22" i="4" s="1"/>
  <c r="O24" i="4"/>
  <c r="CW24" i="4" s="1"/>
  <c r="BX24" i="4"/>
  <c r="U25" i="4"/>
  <c r="AB25" i="4" s="1"/>
  <c r="CL25" i="4"/>
  <c r="BC27" i="4"/>
  <c r="BJ27" i="4" s="1"/>
  <c r="O28" i="4"/>
  <c r="CJ28" i="4"/>
  <c r="AN29" i="4"/>
  <c r="T4" i="4"/>
  <c r="BE5" i="4"/>
  <c r="DF5" i="4"/>
  <c r="AH6" i="4"/>
  <c r="BE6" i="4"/>
  <c r="DC6" i="4"/>
  <c r="R7" i="4"/>
  <c r="Y7" i="4" s="1"/>
  <c r="BA7" i="4"/>
  <c r="CK7" i="4"/>
  <c r="AZ8" i="4"/>
  <c r="AN9" i="4"/>
  <c r="AU9" i="4" s="1"/>
  <c r="CL9" i="4"/>
  <c r="S10" i="4"/>
  <c r="CM10" i="4"/>
  <c r="U11" i="4"/>
  <c r="AB11" i="4" s="1"/>
  <c r="CL11" i="4"/>
  <c r="S12" i="4"/>
  <c r="Q13" i="4"/>
  <c r="BA13" i="4"/>
  <c r="CK13" i="4"/>
  <c r="AJ14" i="4"/>
  <c r="AQ14" i="4" s="1"/>
  <c r="BU14" i="4"/>
  <c r="CB14" i="4" s="1"/>
  <c r="U15" i="4"/>
  <c r="BE15" i="4"/>
  <c r="CO15" i="4"/>
  <c r="V16" i="4"/>
  <c r="BW16" i="4"/>
  <c r="P18" i="4"/>
  <c r="BU18" i="4"/>
  <c r="CB18" i="4" s="1"/>
  <c r="R19" i="4"/>
  <c r="BB19" i="4"/>
  <c r="CM20" i="4"/>
  <c r="CT20" i="4" s="1"/>
  <c r="M21" i="4"/>
  <c r="BI21" i="4" s="1"/>
  <c r="AN22" i="4"/>
  <c r="AU22" i="4" s="1"/>
  <c r="AR24" i="4"/>
  <c r="S24" i="4"/>
  <c r="V25" i="4"/>
  <c r="AC25" i="4" s="1"/>
  <c r="BA26" i="4"/>
  <c r="BH26" i="4" s="1"/>
  <c r="BO26" i="4" s="1"/>
  <c r="BD27" i="4"/>
  <c r="BK27" i="4" s="1"/>
  <c r="S28" i="4"/>
  <c r="CQ29" i="4"/>
  <c r="CX29" i="4" s="1"/>
  <c r="AZ29" i="4"/>
  <c r="BG29" i="4" s="1"/>
  <c r="BN29" i="4" s="1"/>
  <c r="U23" i="4"/>
  <c r="U4" i="4"/>
  <c r="BT4" i="4"/>
  <c r="AH5" i="4"/>
  <c r="BF5" i="4"/>
  <c r="BM5" i="4" s="1"/>
  <c r="AJ6" i="4"/>
  <c r="DF6" i="4"/>
  <c r="T7" i="4"/>
  <c r="BC7" i="4"/>
  <c r="BJ7" i="4" s="1"/>
  <c r="CO7" i="4"/>
  <c r="CV7" i="4" s="1"/>
  <c r="P8" i="4"/>
  <c r="BA8" i="4"/>
  <c r="CO9" i="4"/>
  <c r="BB13" i="4"/>
  <c r="BI13" i="4" s="1"/>
  <c r="CL13" i="4"/>
  <c r="AK14" i="4"/>
  <c r="AR14" i="4" s="1"/>
  <c r="BX14" i="4"/>
  <c r="U19" i="4"/>
  <c r="AB19" i="4" s="1"/>
  <c r="BK24" i="4"/>
  <c r="T24" i="4"/>
  <c r="DH24" i="4"/>
  <c r="DN24" i="4" s="1"/>
  <c r="BV27" i="4"/>
  <c r="CC27" i="4" s="1"/>
  <c r="T28" i="4"/>
  <c r="DH29" i="4"/>
  <c r="DN29" i="4" s="1"/>
  <c r="BR29" i="4"/>
  <c r="BY29" i="4" s="1"/>
  <c r="CF29" i="4" s="1"/>
  <c r="AL5" i="4"/>
  <c r="BR5" i="4"/>
  <c r="BY5" i="4" s="1"/>
  <c r="CF5" i="4" s="1"/>
  <c r="AN6" i="4"/>
  <c r="U7" i="4"/>
  <c r="BD7" i="4"/>
  <c r="BK7" i="4" s="1"/>
  <c r="CP7" i="4"/>
  <c r="R8" i="4"/>
  <c r="BB8" i="4"/>
  <c r="CL8" i="4"/>
  <c r="BC9" i="4"/>
  <c r="BJ9" i="4" s="1"/>
  <c r="M11" i="4"/>
  <c r="BY11" i="4" s="1"/>
  <c r="CF11" i="4" s="1"/>
  <c r="AI11" i="4"/>
  <c r="AH12" i="4"/>
  <c r="BC12" i="4"/>
  <c r="BJ12" i="4" s="1"/>
  <c r="AH13" i="4"/>
  <c r="CM13" i="4"/>
  <c r="AI15" i="4"/>
  <c r="M16" i="4"/>
  <c r="CC16" i="4" s="1"/>
  <c r="AL16" i="4"/>
  <c r="CL16" i="4"/>
  <c r="R17" i="4"/>
  <c r="T18" i="4"/>
  <c r="AA18" i="4" s="1"/>
  <c r="CN18" i="4"/>
  <c r="V19" i="4"/>
  <c r="BW19" i="4"/>
  <c r="P20" i="4"/>
  <c r="W20" i="4" s="1"/>
  <c r="AD20" i="4" s="1"/>
  <c r="BV20" i="4"/>
  <c r="CC20" i="4" s="1"/>
  <c r="N21" i="4"/>
  <c r="AL21" i="4"/>
  <c r="CJ21" i="4"/>
  <c r="BB22" i="4"/>
  <c r="BI22" i="4" s="1"/>
  <c r="Q23" i="4"/>
  <c r="BW23" i="4"/>
  <c r="AZ25" i="4"/>
  <c r="BT26" i="4"/>
  <c r="CA26" i="4" s="1"/>
  <c r="BW27" i="4"/>
  <c r="CD27" i="4" s="1"/>
  <c r="AL28" i="4"/>
  <c r="DI29" i="4"/>
  <c r="BS29" i="4"/>
  <c r="BZ29" i="4" s="1"/>
  <c r="CG29" i="4" s="1"/>
  <c r="N5" i="4"/>
  <c r="AT5" i="4" s="1"/>
  <c r="BV5" i="4"/>
  <c r="BR6" i="4"/>
  <c r="V7" i="4"/>
  <c r="BF7" i="4"/>
  <c r="CM8" i="4"/>
  <c r="BF9" i="4"/>
  <c r="BM9" i="4" s="1"/>
  <c r="AI12" i="4"/>
  <c r="AI13" i="4"/>
  <c r="R14" i="4"/>
  <c r="Y14" i="4" s="1"/>
  <c r="N15" i="4"/>
  <c r="N16" i="4"/>
  <c r="BL16" i="4" s="1"/>
  <c r="AN16" i="4"/>
  <c r="CM16" i="4"/>
  <c r="S17" i="4"/>
  <c r="AL18" i="4"/>
  <c r="AS18" i="4" s="1"/>
  <c r="CK19" i="4"/>
  <c r="Q20" i="4"/>
  <c r="X20" i="4" s="1"/>
  <c r="AE20" i="4" s="1"/>
  <c r="O21" i="4"/>
  <c r="BM21" i="4" s="1"/>
  <c r="AM21" i="4"/>
  <c r="CN21" i="4"/>
  <c r="BR22" i="4"/>
  <c r="BY22" i="4" s="1"/>
  <c r="CF22" i="4" s="1"/>
  <c r="R23" i="4"/>
  <c r="CO23" i="4"/>
  <c r="AL24" i="4"/>
  <c r="DH25" i="4"/>
  <c r="DN25" i="4" s="1"/>
  <c r="BR25" i="4"/>
  <c r="BY25" i="4" s="1"/>
  <c r="CF25" i="4" s="1"/>
  <c r="BU26" i="4"/>
  <c r="CB26" i="4" s="1"/>
  <c r="Q27" i="4"/>
  <c r="X27" i="4" s="1"/>
  <c r="AE27" i="4" s="1"/>
  <c r="CO27" i="4"/>
  <c r="CV27" i="4" s="1"/>
  <c r="AM28" i="4"/>
  <c r="DJ29" i="4"/>
  <c r="CK29" i="4"/>
  <c r="CR29" i="4" s="1"/>
  <c r="CY29" i="4" s="1"/>
  <c r="DJ7" i="4"/>
  <c r="R5" i="4"/>
  <c r="AJ5" i="4"/>
  <c r="BB5" i="4"/>
  <c r="CL5" i="4"/>
  <c r="CS5" i="4" s="1"/>
  <c r="DE9" i="4"/>
  <c r="DK9" i="4" s="1"/>
  <c r="T9" i="4"/>
  <c r="V10" i="4"/>
  <c r="P4" i="4"/>
  <c r="AH4" i="4"/>
  <c r="AZ4" i="4"/>
  <c r="CJ4" i="4"/>
  <c r="BW5" i="4"/>
  <c r="CO5" i="4"/>
  <c r="U5" i="4"/>
  <c r="BV8" i="4"/>
  <c r="T8" i="4"/>
  <c r="BD8" i="4"/>
  <c r="CN8" i="4"/>
  <c r="AL8" i="4"/>
  <c r="CP12" i="4"/>
  <c r="V12" i="4"/>
  <c r="AN12" i="4"/>
  <c r="BF12" i="4"/>
  <c r="BX12" i="4"/>
  <c r="DC5" i="4"/>
  <c r="M6" i="4"/>
  <c r="P7" i="4"/>
  <c r="W7" i="4" s="1"/>
  <c r="AD7" i="4" s="1"/>
  <c r="AH7" i="4"/>
  <c r="AO7" i="4" s="1"/>
  <c r="AV7" i="4" s="1"/>
  <c r="AZ7" i="4"/>
  <c r="BG7" i="4" s="1"/>
  <c r="BN7" i="4" s="1"/>
  <c r="CJ7" i="4"/>
  <c r="AH9" i="4"/>
  <c r="AO9" i="4" s="1"/>
  <c r="AV9" i="4" s="1"/>
  <c r="CJ9" i="4"/>
  <c r="CQ9" i="4" s="1"/>
  <c r="CX9" i="4" s="1"/>
  <c r="BR9" i="4"/>
  <c r="BY9" i="4" s="1"/>
  <c r="CF9" i="4" s="1"/>
  <c r="AZ9" i="4"/>
  <c r="Q10" i="4"/>
  <c r="BA10" i="4"/>
  <c r="BS10" i="4"/>
  <c r="CK10" i="4"/>
  <c r="DB10" i="4"/>
  <c r="AI10" i="4"/>
  <c r="N4" i="4"/>
  <c r="CW5" i="4"/>
  <c r="T6" i="4"/>
  <c r="AL6" i="4"/>
  <c r="DE6" i="4"/>
  <c r="BV6" i="4"/>
  <c r="N6" i="4"/>
  <c r="AP7" i="4"/>
  <c r="AW7" i="4" s="1"/>
  <c r="BT5" i="4"/>
  <c r="AL9" i="4"/>
  <c r="AS9" i="4" s="1"/>
  <c r="BV9" i="4"/>
  <c r="CC9" i="4" s="1"/>
  <c r="BD9" i="4"/>
  <c r="BK9" i="4" s="1"/>
  <c r="BW10" i="4"/>
  <c r="CO10" i="4"/>
  <c r="DF10" i="4"/>
  <c r="U10" i="4"/>
  <c r="AB10" i="4" s="1"/>
  <c r="AM10" i="4"/>
  <c r="BE10" i="4"/>
  <c r="CP10" i="4"/>
  <c r="AN10" i="4"/>
  <c r="BF10" i="4"/>
  <c r="DG10" i="4"/>
  <c r="CJ11" i="4"/>
  <c r="P11" i="4"/>
  <c r="AH11" i="4"/>
  <c r="AZ11" i="4"/>
  <c r="BC6" i="4"/>
  <c r="S6" i="4"/>
  <c r="AK6" i="4"/>
  <c r="CM6" i="4"/>
  <c r="BU4" i="4"/>
  <c r="CM4" i="4"/>
  <c r="S4" i="4"/>
  <c r="BC4" i="4"/>
  <c r="BI7" i="4"/>
  <c r="BR7" i="4"/>
  <c r="BY7" i="4" s="1"/>
  <c r="CF7" i="4" s="1"/>
  <c r="BE13" i="4"/>
  <c r="BW13" i="4"/>
  <c r="DF13" i="4"/>
  <c r="DL13" i="4" s="1"/>
  <c r="CO13" i="4"/>
  <c r="U13" i="4"/>
  <c r="M4" i="4"/>
  <c r="BY4" i="4" s="1"/>
  <c r="CF4" i="4" s="1"/>
  <c r="AK4" i="4"/>
  <c r="Q5" i="4"/>
  <c r="AI5" i="4"/>
  <c r="BS5" i="4"/>
  <c r="CK5" i="4"/>
  <c r="DM6" i="4"/>
  <c r="AU6" i="4"/>
  <c r="BD6" i="4"/>
  <c r="BU7" i="4"/>
  <c r="CM7" i="4"/>
  <c r="CT7" i="4" s="1"/>
  <c r="S7" i="4"/>
  <c r="Z7" i="4" s="1"/>
  <c r="V15" i="4"/>
  <c r="BF15" i="4"/>
  <c r="BX15" i="4"/>
  <c r="CE15" i="4" s="1"/>
  <c r="CP15" i="4"/>
  <c r="DG15" i="4"/>
  <c r="AN15" i="4"/>
  <c r="BE4" i="4"/>
  <c r="DB4" i="4"/>
  <c r="DD5" i="4"/>
  <c r="BF6" i="4"/>
  <c r="BM6" i="4" s="1"/>
  <c r="DB6" i="4"/>
  <c r="BE7" i="4"/>
  <c r="BL7" i="4" s="1"/>
  <c r="DB7" i="4"/>
  <c r="DH7" i="4" s="1"/>
  <c r="DN7" i="4" s="1"/>
  <c r="U8" i="4"/>
  <c r="CO8" i="4"/>
  <c r="CV8" i="4" s="1"/>
  <c r="DC9" i="4"/>
  <c r="DI9" i="4" s="1"/>
  <c r="AM4" i="4"/>
  <c r="DC4" i="4"/>
  <c r="DE5" i="4"/>
  <c r="DK5" i="4" s="1"/>
  <c r="AI6" i="4"/>
  <c r="AM7" i="4"/>
  <c r="DC7" i="4"/>
  <c r="CP8" i="4"/>
  <c r="CW8" i="4" s="1"/>
  <c r="R9" i="4"/>
  <c r="Y9" i="4" s="1"/>
  <c r="CP9" i="4"/>
  <c r="CW9" i="4" s="1"/>
  <c r="AZ10" i="4"/>
  <c r="BR10" i="4"/>
  <c r="S11" i="4"/>
  <c r="BC11" i="4"/>
  <c r="BU11" i="4"/>
  <c r="CM11" i="4"/>
  <c r="CJ17" i="4"/>
  <c r="BR17" i="4"/>
  <c r="AZ17" i="4"/>
  <c r="BG17" i="4" s="1"/>
  <c r="BN17" i="4" s="1"/>
  <c r="AH17" i="4"/>
  <c r="P17" i="4"/>
  <c r="BS4" i="4"/>
  <c r="CL4" i="4"/>
  <c r="DE4" i="4"/>
  <c r="BU5" i="4"/>
  <c r="CN5" i="4"/>
  <c r="CU5" i="4" s="1"/>
  <c r="DG5" i="4"/>
  <c r="DM5" i="4" s="1"/>
  <c r="BA6" i="4"/>
  <c r="CO6" i="4"/>
  <c r="BS7" i="4"/>
  <c r="BZ7" i="4" s="1"/>
  <c r="CG7" i="4" s="1"/>
  <c r="CL7" i="4"/>
  <c r="CS7" i="4" s="1"/>
  <c r="DE7" i="4"/>
  <c r="AH8" i="4"/>
  <c r="BF8" i="4"/>
  <c r="BM8" i="4" s="1"/>
  <c r="DF8" i="4"/>
  <c r="DG9" i="4"/>
  <c r="DM9" i="4" s="1"/>
  <c r="AJ10" i="4"/>
  <c r="BT10" i="4"/>
  <c r="CL10" i="4"/>
  <c r="CJ10" i="4"/>
  <c r="AK11" i="4"/>
  <c r="DD11" i="4"/>
  <c r="Q16" i="4"/>
  <c r="AI16" i="4"/>
  <c r="BS16" i="4"/>
  <c r="CK16" i="4"/>
  <c r="DB16" i="4"/>
  <c r="CP6" i="4"/>
  <c r="CW6" i="4" s="1"/>
  <c r="BT7" i="4"/>
  <c r="CA7" i="4" s="1"/>
  <c r="CK8" i="4"/>
  <c r="Q8" i="4"/>
  <c r="V8" i="4"/>
  <c r="AI8" i="4"/>
  <c r="DG8" i="4"/>
  <c r="DM8" i="4" s="1"/>
  <c r="AJ9" i="4"/>
  <c r="AQ9" i="4" s="1"/>
  <c r="AL11" i="4"/>
  <c r="BV11" i="4"/>
  <c r="CN11" i="4"/>
  <c r="CL12" i="4"/>
  <c r="BT12" i="4"/>
  <c r="BB12" i="4"/>
  <c r="BI12" i="4" s="1"/>
  <c r="R12" i="4"/>
  <c r="AJ12" i="4"/>
  <c r="P16" i="4"/>
  <c r="AZ16" i="4"/>
  <c r="BR16" i="4"/>
  <c r="CJ16" i="4"/>
  <c r="AH16" i="4"/>
  <c r="BW8" i="4"/>
  <c r="CJ8" i="4"/>
  <c r="CM9" i="4"/>
  <c r="CT9" i="4" s="1"/>
  <c r="S9" i="4"/>
  <c r="Z9" i="4" s="1"/>
  <c r="AK9" i="4"/>
  <c r="AR9" i="4" s="1"/>
  <c r="BD10" i="4"/>
  <c r="BV10" i="4"/>
  <c r="DE10" i="4"/>
  <c r="CN10" i="4"/>
  <c r="CO12" i="4"/>
  <c r="U12" i="4"/>
  <c r="DF12" i="4"/>
  <c r="AL13" i="4"/>
  <c r="BD13" i="4"/>
  <c r="DE13" i="4"/>
  <c r="BV13" i="4"/>
  <c r="T13" i="4"/>
  <c r="CN13" i="4"/>
  <c r="CU13" i="4" s="1"/>
  <c r="BC8" i="4"/>
  <c r="BE9" i="4"/>
  <c r="DB9" i="4"/>
  <c r="DD10" i="4"/>
  <c r="BA11" i="4"/>
  <c r="BT11" i="4"/>
  <c r="DF11" i="4"/>
  <c r="Q12" i="4"/>
  <c r="X12" i="4" s="1"/>
  <c r="AE12" i="4" s="1"/>
  <c r="AZ12" i="4"/>
  <c r="BX13" i="4"/>
  <c r="CE13" i="4" s="1"/>
  <c r="CP13" i="4"/>
  <c r="DG13" i="4"/>
  <c r="DM13" i="4" s="1"/>
  <c r="Q21" i="4"/>
  <c r="BA21" i="4"/>
  <c r="BS21" i="4"/>
  <c r="CK21" i="4"/>
  <c r="P23" i="4"/>
  <c r="AH23" i="4"/>
  <c r="AZ23" i="4"/>
  <c r="BR23" i="4"/>
  <c r="CJ23" i="4"/>
  <c r="M23" i="4"/>
  <c r="BB11" i="4"/>
  <c r="CJ12" i="4"/>
  <c r="BC13" i="4"/>
  <c r="AM14" i="4"/>
  <c r="AT14" i="4" s="1"/>
  <c r="CO14" i="4"/>
  <c r="CV14" i="4" s="1"/>
  <c r="BA14" i="4"/>
  <c r="BH14" i="4" s="1"/>
  <c r="BO14" i="4" s="1"/>
  <c r="R21" i="4"/>
  <c r="AJ21" i="4"/>
  <c r="BT21" i="4"/>
  <c r="CL21" i="4"/>
  <c r="DC21" i="4"/>
  <c r="DD22" i="4"/>
  <c r="DJ22" i="4" s="1"/>
  <c r="CM22" i="4"/>
  <c r="CT22" i="4" s="1"/>
  <c r="S22" i="4"/>
  <c r="Z22" i="4" s="1"/>
  <c r="AK22" i="4"/>
  <c r="BC22" i="4"/>
  <c r="BJ22" i="4" s="1"/>
  <c r="BU22" i="4"/>
  <c r="CB22" i="4" s="1"/>
  <c r="AJ11" i="4"/>
  <c r="DB12" i="4"/>
  <c r="CK12" i="4"/>
  <c r="CR12" i="4" s="1"/>
  <c r="CY12" i="4" s="1"/>
  <c r="AL12" i="4"/>
  <c r="AS12" i="4" s="1"/>
  <c r="BS14" i="4"/>
  <c r="BZ14" i="4" s="1"/>
  <c r="CG14" i="4" s="1"/>
  <c r="BD17" i="4"/>
  <c r="AL17" i="4"/>
  <c r="AS17" i="4" s="1"/>
  <c r="DE17" i="4"/>
  <c r="CN17" i="4"/>
  <c r="BV17" i="4"/>
  <c r="CJ19" i="4"/>
  <c r="P19" i="4"/>
  <c r="AH19" i="4"/>
  <c r="BR19" i="4"/>
  <c r="DE22" i="4"/>
  <c r="DK22" i="4" s="1"/>
  <c r="T22" i="4"/>
  <c r="AL22" i="4"/>
  <c r="AS22" i="4" s="1"/>
  <c r="BD22" i="4"/>
  <c r="BK22" i="4" s="1"/>
  <c r="BV22" i="4"/>
  <c r="CC22" i="4" s="1"/>
  <c r="CN22" i="4"/>
  <c r="BT15" i="4"/>
  <c r="CL15" i="4"/>
  <c r="DC15" i="4"/>
  <c r="R15" i="4"/>
  <c r="CO16" i="4"/>
  <c r="CV16" i="4" s="1"/>
  <c r="U16" i="4"/>
  <c r="AM16" i="4"/>
  <c r="DF16" i="4"/>
  <c r="V13" i="4"/>
  <c r="AC13" i="4" s="1"/>
  <c r="BR14" i="4"/>
  <c r="BY14" i="4" s="1"/>
  <c r="CF14" i="4" s="1"/>
  <c r="CJ14" i="4"/>
  <c r="CQ14" i="4" s="1"/>
  <c r="CX14" i="4" s="1"/>
  <c r="P14" i="4"/>
  <c r="W14" i="4" s="1"/>
  <c r="AD14" i="4" s="1"/>
  <c r="DF14" i="4"/>
  <c r="DL14" i="4" s="1"/>
  <c r="CM15" i="4"/>
  <c r="S15" i="4"/>
  <c r="AK15" i="4"/>
  <c r="DM16" i="4"/>
  <c r="S13" i="4"/>
  <c r="AK13" i="4"/>
  <c r="CK14" i="4"/>
  <c r="CR14" i="4" s="1"/>
  <c r="CY14" i="4" s="1"/>
  <c r="Q14" i="4"/>
  <c r="X14" i="4" s="1"/>
  <c r="AE14" i="4" s="1"/>
  <c r="AI14" i="4"/>
  <c r="AP14" i="4" s="1"/>
  <c r="AW14" i="4" s="1"/>
  <c r="BE14" i="4"/>
  <c r="BL14" i="4" s="1"/>
  <c r="BW14" i="4"/>
  <c r="CD14" i="4" s="1"/>
  <c r="BB15" i="4"/>
  <c r="CP18" i="4"/>
  <c r="CW18" i="4" s="1"/>
  <c r="V18" i="4"/>
  <c r="AN18" i="4"/>
  <c r="DG18" i="4"/>
  <c r="BF18" i="4"/>
  <c r="BX18" i="4"/>
  <c r="DG14" i="4"/>
  <c r="T16" i="4"/>
  <c r="DC16" i="4"/>
  <c r="BE17" i="4"/>
  <c r="U17" i="4"/>
  <c r="DF17" i="4"/>
  <c r="DL17" i="4" s="1"/>
  <c r="CO17" i="4"/>
  <c r="BT20" i="4"/>
  <c r="CA20" i="4" s="1"/>
  <c r="BB20" i="4"/>
  <c r="BI20" i="4" s="1"/>
  <c r="R20" i="4"/>
  <c r="Y20" i="4" s="1"/>
  <c r="AJ20" i="4"/>
  <c r="AQ20" i="4" s="1"/>
  <c r="DB15" i="4"/>
  <c r="DD16" i="4"/>
  <c r="AN17" i="4"/>
  <c r="AU17" i="4" s="1"/>
  <c r="CP17" i="4"/>
  <c r="BX17" i="4"/>
  <c r="BB18" i="4"/>
  <c r="S19" i="4"/>
  <c r="BC19" i="4"/>
  <c r="BU19" i="4"/>
  <c r="CM19" i="4"/>
  <c r="DD19" i="4"/>
  <c r="CB20" i="4"/>
  <c r="BJ23" i="4"/>
  <c r="R24" i="4"/>
  <c r="AJ24" i="4"/>
  <c r="AQ24" i="4" s="1"/>
  <c r="BB24" i="4"/>
  <c r="BI24" i="4" s="1"/>
  <c r="BT24" i="4"/>
  <c r="CA24" i="4" s="1"/>
  <c r="CL24" i="4"/>
  <c r="DC24" i="4"/>
  <c r="DI24" i="4" s="1"/>
  <c r="DE16" i="4"/>
  <c r="Q18" i="4"/>
  <c r="X18" i="4" s="1"/>
  <c r="AE18" i="4" s="1"/>
  <c r="BA18" i="4"/>
  <c r="BS18" i="4"/>
  <c r="BZ18" i="4" s="1"/>
  <c r="CG18" i="4" s="1"/>
  <c r="CK18" i="4"/>
  <c r="CR18" i="4" s="1"/>
  <c r="CY18" i="4" s="1"/>
  <c r="AI18" i="4"/>
  <c r="AP18" i="4" s="1"/>
  <c r="AW18" i="4" s="1"/>
  <c r="T19" i="4"/>
  <c r="AL19" i="4"/>
  <c r="BV19" i="4"/>
  <c r="CN19" i="4"/>
  <c r="DE19" i="4"/>
  <c r="BK23" i="4"/>
  <c r="R18" i="4"/>
  <c r="Y18" i="4" s="1"/>
  <c r="AJ18" i="4"/>
  <c r="AQ18" i="4" s="1"/>
  <c r="BT18" i="4"/>
  <c r="CL18" i="4"/>
  <c r="CS18" i="4" s="1"/>
  <c r="BE20" i="4"/>
  <c r="BL20" i="4" s="1"/>
  <c r="U20" i="4"/>
  <c r="DF20" i="4"/>
  <c r="CO20" i="4"/>
  <c r="AM20" i="4"/>
  <c r="CP21" i="4"/>
  <c r="DG21" i="4"/>
  <c r="V21" i="4"/>
  <c r="AN21" i="4"/>
  <c r="R28" i="4"/>
  <c r="AJ28" i="4"/>
  <c r="BB28" i="4"/>
  <c r="BT28" i="4"/>
  <c r="CL28" i="4"/>
  <c r="CS28" i="4" s="1"/>
  <c r="DC28" i="4"/>
  <c r="BF14" i="4"/>
  <c r="F30" i="4"/>
  <c r="AZ15" i="4"/>
  <c r="BS15" i="4"/>
  <c r="DE15" i="4"/>
  <c r="BB16" i="4"/>
  <c r="BU16" i="4"/>
  <c r="CN16" i="4"/>
  <c r="CK17" i="4"/>
  <c r="Q17" i="4"/>
  <c r="V17" i="4"/>
  <c r="DG17" i="4"/>
  <c r="DM17" i="4" s="1"/>
  <c r="AR18" i="4"/>
  <c r="V20" i="4"/>
  <c r="AN20" i="4"/>
  <c r="CP20" i="4"/>
  <c r="BX20" i="4"/>
  <c r="CR22" i="4"/>
  <c r="CY22" i="4" s="1"/>
  <c r="BT17" i="4"/>
  <c r="BB17" i="4"/>
  <c r="AJ17" i="4"/>
  <c r="AM17" i="4"/>
  <c r="BK18" i="4"/>
  <c r="CU18" i="4"/>
  <c r="BF20" i="4"/>
  <c r="BW20" i="4"/>
  <c r="DH20" i="4"/>
  <c r="DN20" i="4" s="1"/>
  <c r="AQ22" i="4"/>
  <c r="DD17" i="4"/>
  <c r="U18" i="4"/>
  <c r="BR18" i="4"/>
  <c r="BY18" i="4" s="1"/>
  <c r="CF18" i="4" s="1"/>
  <c r="DD18" i="4"/>
  <c r="BA19" i="4"/>
  <c r="BH19" i="4" s="1"/>
  <c r="BO19" i="4" s="1"/>
  <c r="BT19" i="4"/>
  <c r="DF19" i="4"/>
  <c r="DL19" i="4" s="1"/>
  <c r="AZ20" i="4"/>
  <c r="BG20" i="4" s="1"/>
  <c r="BN20" i="4" s="1"/>
  <c r="CN20" i="4"/>
  <c r="CU20" i="4" s="1"/>
  <c r="DD20" i="4"/>
  <c r="DJ20" i="4" s="1"/>
  <c r="BR21" i="4"/>
  <c r="DD21" i="4"/>
  <c r="AH22" i="4"/>
  <c r="AO22" i="4" s="1"/>
  <c r="AV22" i="4" s="1"/>
  <c r="BA22" i="4"/>
  <c r="BH22" i="4" s="1"/>
  <c r="BO22" i="4" s="1"/>
  <c r="BT22" i="4"/>
  <c r="CA22" i="4" s="1"/>
  <c r="AP23" i="4"/>
  <c r="AW23" i="4" s="1"/>
  <c r="N23" i="4"/>
  <c r="S25" i="4"/>
  <c r="AK25" i="4"/>
  <c r="BC25" i="4"/>
  <c r="BU25" i="4"/>
  <c r="CM25" i="4"/>
  <c r="DE18" i="4"/>
  <c r="DK18" i="4" s="1"/>
  <c r="DG19" i="4"/>
  <c r="DE21" i="4"/>
  <c r="P22" i="4"/>
  <c r="W22" i="4" s="1"/>
  <c r="AD22" i="4" s="1"/>
  <c r="BI23" i="4"/>
  <c r="O23" i="4"/>
  <c r="AQ23" i="4"/>
  <c r="T25" i="4"/>
  <c r="AL25" i="4"/>
  <c r="AS25" i="4" s="1"/>
  <c r="BD25" i="4"/>
  <c r="BV25" i="4"/>
  <c r="CN25" i="4"/>
  <c r="CM18" i="4"/>
  <c r="CT18" i="4" s="1"/>
  <c r="DF18" i="4"/>
  <c r="Q19" i="4"/>
  <c r="AJ19" i="4"/>
  <c r="CO19" i="4"/>
  <c r="CV19" i="4" s="1"/>
  <c r="S20" i="4"/>
  <c r="Z20" i="4" s="1"/>
  <c r="AL20" i="4"/>
  <c r="AS20" i="4" s="1"/>
  <c r="BR20" i="4"/>
  <c r="BY20" i="4" s="1"/>
  <c r="CF20" i="4" s="1"/>
  <c r="CM21" i="4"/>
  <c r="Q22" i="4"/>
  <c r="DB22" i="4"/>
  <c r="DH22" i="4" s="1"/>
  <c r="DN22" i="4" s="1"/>
  <c r="BU23" i="4"/>
  <c r="CB23" i="4" s="1"/>
  <c r="CM23" i="4"/>
  <c r="CT23" i="4" s="1"/>
  <c r="DD23" i="4"/>
  <c r="DJ23" i="4" s="1"/>
  <c r="S23" i="4"/>
  <c r="Z23" i="4" s="1"/>
  <c r="AK23" i="4"/>
  <c r="AR23" i="4" s="1"/>
  <c r="CS26" i="4"/>
  <c r="P27" i="4"/>
  <c r="W27" i="4" s="1"/>
  <c r="AD27" i="4" s="1"/>
  <c r="AH27" i="4"/>
  <c r="AO27" i="4" s="1"/>
  <c r="AV27" i="4" s="1"/>
  <c r="AZ27" i="4"/>
  <c r="BG27" i="4" s="1"/>
  <c r="BN27" i="4" s="1"/>
  <c r="BR27" i="4"/>
  <c r="BY27" i="4" s="1"/>
  <c r="CF27" i="4" s="1"/>
  <c r="CJ27" i="4"/>
  <c r="CQ27" i="4" s="1"/>
  <c r="CX27" i="4" s="1"/>
  <c r="CU23" i="4"/>
  <c r="BM25" i="4"/>
  <c r="T29" i="4"/>
  <c r="AA29" i="4" s="1"/>
  <c r="AL29" i="4"/>
  <c r="AS29" i="4" s="1"/>
  <c r="BD29" i="4"/>
  <c r="BK29" i="4" s="1"/>
  <c r="BV29" i="4"/>
  <c r="CC29" i="4" s="1"/>
  <c r="CN29" i="4"/>
  <c r="CU29" i="4" s="1"/>
  <c r="BC18" i="4"/>
  <c r="BJ18" i="4" s="1"/>
  <c r="BV18" i="4"/>
  <c r="CO18" i="4"/>
  <c r="BE19" i="4"/>
  <c r="BL19" i="4" s="1"/>
  <c r="BX19" i="4"/>
  <c r="BC21" i="4"/>
  <c r="BV21" i="4"/>
  <c r="CC21" i="4" s="1"/>
  <c r="BE22" i="4"/>
  <c r="BX22" i="4"/>
  <c r="DG22" i="4"/>
  <c r="DD25" i="4"/>
  <c r="CL22" i="4"/>
  <c r="DC22" i="4"/>
  <c r="DI22" i="4" s="1"/>
  <c r="AM22" i="4"/>
  <c r="BF22" i="4"/>
  <c r="Q24" i="4"/>
  <c r="AI24" i="4"/>
  <c r="AP24" i="4" s="1"/>
  <c r="AW24" i="4" s="1"/>
  <c r="BA24" i="4"/>
  <c r="BH24" i="4" s="1"/>
  <c r="BO24" i="4" s="1"/>
  <c r="BS24" i="4"/>
  <c r="BZ24" i="4" s="1"/>
  <c r="CG24" i="4" s="1"/>
  <c r="CK24" i="4"/>
  <c r="DE25" i="4"/>
  <c r="U26" i="4"/>
  <c r="AB26" i="4" s="1"/>
  <c r="AM26" i="4"/>
  <c r="AT26" i="4" s="1"/>
  <c r="BE26" i="4"/>
  <c r="BL26" i="4" s="1"/>
  <c r="BW26" i="4"/>
  <c r="CD26" i="4" s="1"/>
  <c r="CO26" i="4"/>
  <c r="CV26" i="4" s="1"/>
  <c r="AL23" i="4"/>
  <c r="AS23" i="4" s="1"/>
  <c r="BE23" i="4"/>
  <c r="BX23" i="4"/>
  <c r="DB23" i="4"/>
  <c r="DH23" i="4" s="1"/>
  <c r="DN23" i="4" s="1"/>
  <c r="U24" i="4"/>
  <c r="AN24" i="4"/>
  <c r="BR24" i="4"/>
  <c r="BY24" i="4" s="1"/>
  <c r="CF24" i="4" s="1"/>
  <c r="DD24" i="4"/>
  <c r="AH25" i="4"/>
  <c r="BA25" i="4"/>
  <c r="BT25" i="4"/>
  <c r="CA25" i="4" s="1"/>
  <c r="DF25" i="4"/>
  <c r="Q26" i="4"/>
  <c r="X26" i="4" s="1"/>
  <c r="AE26" i="4" s="1"/>
  <c r="AJ26" i="4"/>
  <c r="AQ26" i="4" s="1"/>
  <c r="BC26" i="4"/>
  <c r="BJ26" i="4" s="1"/>
  <c r="BV26" i="4"/>
  <c r="CC26" i="4" s="1"/>
  <c r="S27" i="4"/>
  <c r="Z27" i="4" s="1"/>
  <c r="AL27" i="4"/>
  <c r="AS27" i="4" s="1"/>
  <c r="BE27" i="4"/>
  <c r="BL27" i="4" s="1"/>
  <c r="BX27" i="4"/>
  <c r="DB27" i="4"/>
  <c r="DH27" i="4" s="1"/>
  <c r="DN27" i="4" s="1"/>
  <c r="U28" i="4"/>
  <c r="AN28" i="4"/>
  <c r="BR28" i="4"/>
  <c r="CK28" i="4"/>
  <c r="DD28" i="4"/>
  <c r="AH29" i="4"/>
  <c r="AO29" i="4" s="1"/>
  <c r="AV29" i="4" s="1"/>
  <c r="BA29" i="4"/>
  <c r="BH29" i="4" s="1"/>
  <c r="BO29" i="4" s="1"/>
  <c r="BT29" i="4"/>
  <c r="CA29" i="4" s="1"/>
  <c r="CM29" i="4"/>
  <c r="CT29" i="4" s="1"/>
  <c r="DF29" i="4"/>
  <c r="T23" i="4"/>
  <c r="AA23" i="4" s="1"/>
  <c r="AM23" i="4"/>
  <c r="AT23" i="4" s="1"/>
  <c r="BF23" i="4"/>
  <c r="DC23" i="4"/>
  <c r="DI23" i="4" s="1"/>
  <c r="V24" i="4"/>
  <c r="AZ24" i="4"/>
  <c r="BG24" i="4" s="1"/>
  <c r="BN24" i="4" s="1"/>
  <c r="DE24" i="4"/>
  <c r="DK24" i="4" s="1"/>
  <c r="P25" i="4"/>
  <c r="AI25" i="4"/>
  <c r="BB25" i="4"/>
  <c r="DG25" i="4"/>
  <c r="DM25" i="4" s="1"/>
  <c r="R26" i="4"/>
  <c r="Y26" i="4" s="1"/>
  <c r="AK26" i="4"/>
  <c r="AR26" i="4" s="1"/>
  <c r="BD26" i="4"/>
  <c r="BK26" i="4" s="1"/>
  <c r="T27" i="4"/>
  <c r="AA27" i="4" s="1"/>
  <c r="AM27" i="4"/>
  <c r="AT27" i="4" s="1"/>
  <c r="BF27" i="4"/>
  <c r="DC27" i="4"/>
  <c r="DI27" i="4" s="1"/>
  <c r="V28" i="4"/>
  <c r="AZ28" i="4"/>
  <c r="BG28" i="4" s="1"/>
  <c r="BN28" i="4" s="1"/>
  <c r="BS28" i="4"/>
  <c r="DE28" i="4"/>
  <c r="P29" i="4"/>
  <c r="W29" i="4" s="1"/>
  <c r="AD29" i="4" s="1"/>
  <c r="AI29" i="4"/>
  <c r="AP29" i="4" s="1"/>
  <c r="AW29" i="4" s="1"/>
  <c r="BB29" i="4"/>
  <c r="BI29" i="4" s="1"/>
  <c r="BU29" i="4"/>
  <c r="CB29" i="4" s="1"/>
  <c r="DG29" i="4"/>
  <c r="DM29" i="4" s="1"/>
  <c r="CK23" i="4"/>
  <c r="CR23" i="4" s="1"/>
  <c r="CY23" i="4" s="1"/>
  <c r="AH24" i="4"/>
  <c r="CM24" i="4"/>
  <c r="CT24" i="4" s="1"/>
  <c r="DF24" i="4"/>
  <c r="DL24" i="4" s="1"/>
  <c r="Q25" i="4"/>
  <c r="AJ25" i="4"/>
  <c r="CO25" i="4"/>
  <c r="S26" i="4"/>
  <c r="Z26" i="4" s="1"/>
  <c r="AL26" i="4"/>
  <c r="AS26" i="4" s="1"/>
  <c r="DB26" i="4"/>
  <c r="DH26" i="4" s="1"/>
  <c r="DN26" i="4" s="1"/>
  <c r="U27" i="4"/>
  <c r="AB27" i="4" s="1"/>
  <c r="AN27" i="4"/>
  <c r="AU27" i="4" s="1"/>
  <c r="CK27" i="4"/>
  <c r="CR27" i="4" s="1"/>
  <c r="CY27" i="4" s="1"/>
  <c r="DD27" i="4"/>
  <c r="DJ27" i="4" s="1"/>
  <c r="AH28" i="4"/>
  <c r="BA28" i="4"/>
  <c r="CM28" i="4"/>
  <c r="CT28" i="4" s="1"/>
  <c r="DF28" i="4"/>
  <c r="Q29" i="4"/>
  <c r="X29" i="4" s="1"/>
  <c r="AE29" i="4" s="1"/>
  <c r="AJ29" i="4"/>
  <c r="AQ29" i="4" s="1"/>
  <c r="BC29" i="4"/>
  <c r="BJ29" i="4" s="1"/>
  <c r="CO29" i="4"/>
  <c r="G30" i="4"/>
  <c r="V23" i="4"/>
  <c r="BS23" i="4"/>
  <c r="BZ23" i="4" s="1"/>
  <c r="CG23" i="4" s="1"/>
  <c r="CL23" i="4"/>
  <c r="CS23" i="4" s="1"/>
  <c r="DE23" i="4"/>
  <c r="DK23" i="4" s="1"/>
  <c r="BU24" i="4"/>
  <c r="CB24" i="4" s="1"/>
  <c r="CN24" i="4"/>
  <c r="CU24" i="4" s="1"/>
  <c r="DG24" i="4"/>
  <c r="R25" i="4"/>
  <c r="BW25" i="4"/>
  <c r="CD25" i="4" s="1"/>
  <c r="CP25" i="4"/>
  <c r="T26" i="4"/>
  <c r="AA26" i="4" s="1"/>
  <c r="CJ26" i="4"/>
  <c r="CQ26" i="4" s="1"/>
  <c r="CX26" i="4" s="1"/>
  <c r="DC26" i="4"/>
  <c r="DI26" i="4" s="1"/>
  <c r="V27" i="4"/>
  <c r="BS27" i="4"/>
  <c r="BZ27" i="4" s="1"/>
  <c r="CG27" i="4" s="1"/>
  <c r="CL27" i="4"/>
  <c r="CS27" i="4" s="1"/>
  <c r="DE27" i="4"/>
  <c r="DK27" i="4" s="1"/>
  <c r="AI28" i="4"/>
  <c r="AP28" i="4" s="1"/>
  <c r="AW28" i="4" s="1"/>
  <c r="BU28" i="4"/>
  <c r="CN28" i="4"/>
  <c r="DG28" i="4"/>
  <c r="DM28" i="4" s="1"/>
  <c r="R29" i="4"/>
  <c r="Y29" i="4" s="1"/>
  <c r="AK29" i="4"/>
  <c r="AR29" i="4" s="1"/>
  <c r="BW29" i="4"/>
  <c r="CD29" i="4" s="1"/>
  <c r="CP29" i="4"/>
  <c r="CW29" i="4" s="1"/>
  <c r="H30" i="4"/>
  <c r="BA23" i="4"/>
  <c r="BH23" i="4" s="1"/>
  <c r="BO23" i="4" s="1"/>
  <c r="BT23" i="4"/>
  <c r="CA23" i="4" s="1"/>
  <c r="BC24" i="4"/>
  <c r="BJ24" i="4" s="1"/>
  <c r="BV24" i="4"/>
  <c r="CC24" i="4" s="1"/>
  <c r="CO24" i="4"/>
  <c r="BE25" i="4"/>
  <c r="BX25" i="4"/>
  <c r="CE25" i="4" s="1"/>
  <c r="BR26" i="4"/>
  <c r="BY26" i="4" s="1"/>
  <c r="CF26" i="4" s="1"/>
  <c r="CK26" i="4"/>
  <c r="CR26" i="4" s="1"/>
  <c r="CY26" i="4" s="1"/>
  <c r="BA27" i="4"/>
  <c r="BH27" i="4" s="1"/>
  <c r="BO27" i="4" s="1"/>
  <c r="BT27" i="4"/>
  <c r="CA27" i="4" s="1"/>
  <c r="CM27" i="4"/>
  <c r="CT27" i="4" s="1"/>
  <c r="Q28" i="4"/>
  <c r="BC28" i="4"/>
  <c r="BV28" i="4"/>
  <c r="CO28" i="4"/>
  <c r="S29" i="4"/>
  <c r="Z29" i="4" s="1"/>
  <c r="BE29" i="4"/>
  <c r="BL29" i="4" s="1"/>
  <c r="BX29" i="4"/>
  <c r="CE29" i="4" s="1"/>
  <c r="AC5" i="3"/>
  <c r="Z7" i="3"/>
  <c r="AA7" i="3"/>
  <c r="AC13" i="3"/>
  <c r="X17" i="3"/>
  <c r="AE17" i="3" s="1"/>
  <c r="Z26" i="3"/>
  <c r="Y28" i="3"/>
  <c r="Z9" i="3"/>
  <c r="AC10" i="3"/>
  <c r="AF10" i="3" s="1"/>
  <c r="AG10" i="3" s="1"/>
  <c r="AC16" i="3"/>
  <c r="Y17" i="3"/>
  <c r="AB20" i="3"/>
  <c r="AF20" i="3" s="1"/>
  <c r="AG20" i="3" s="1"/>
  <c r="X21" i="3"/>
  <c r="AE21" i="3" s="1"/>
  <c r="AB22" i="3"/>
  <c r="AA24" i="3"/>
  <c r="Z28" i="3"/>
  <c r="Y4" i="3"/>
  <c r="AB7" i="3"/>
  <c r="Y9" i="3"/>
  <c r="AA12" i="3"/>
  <c r="Z12" i="3"/>
  <c r="AB15" i="3"/>
  <c r="Z17" i="3"/>
  <c r="Y19" i="3"/>
  <c r="AC20" i="3"/>
  <c r="Y21" i="3"/>
  <c r="AB24" i="3"/>
  <c r="AB12" i="3"/>
  <c r="AA17" i="3"/>
  <c r="AC24" i="3"/>
  <c r="AC7" i="3"/>
  <c r="AC9" i="3"/>
  <c r="X13" i="3"/>
  <c r="AE13" i="3" s="1"/>
  <c r="Z14" i="3"/>
  <c r="X14" i="3"/>
  <c r="AE14" i="3" s="1"/>
  <c r="AC15" i="3"/>
  <c r="X16" i="3"/>
  <c r="AE16" i="3" s="1"/>
  <c r="AB17" i="3"/>
  <c r="X18" i="3"/>
  <c r="AE18" i="3" s="1"/>
  <c r="X7" i="3"/>
  <c r="AE7" i="3" s="1"/>
  <c r="Z13" i="3"/>
  <c r="Z16" i="3"/>
  <c r="AF16" i="3" s="1"/>
  <c r="Z18" i="3"/>
  <c r="X24" i="3"/>
  <c r="AE24" i="3" s="1"/>
  <c r="X26" i="3"/>
  <c r="AE26" i="3" s="1"/>
  <c r="B30" i="5"/>
  <c r="C30" i="3"/>
  <c r="D30" i="4"/>
  <c r="C30" i="5"/>
  <c r="D30" i="3"/>
  <c r="E30" i="4"/>
  <c r="D30" i="5"/>
  <c r="E30" i="3"/>
  <c r="B30" i="3"/>
  <c r="M6" i="3"/>
  <c r="M27" i="3"/>
  <c r="Z27" i="3" s="1"/>
  <c r="F30" i="3"/>
  <c r="P4" i="3"/>
  <c r="W4" i="3" s="1"/>
  <c r="AD4" i="3" s="1"/>
  <c r="V27" i="3"/>
  <c r="AC27" i="3" s="1"/>
  <c r="G30" i="3"/>
  <c r="Q4" i="3"/>
  <c r="X4" i="3" s="1"/>
  <c r="AE4" i="3" s="1"/>
  <c r="CQ24" i="4" l="1"/>
  <c r="CX24" i="4" s="1"/>
  <c r="Q15" i="6"/>
  <c r="M14" i="6"/>
  <c r="W14" i="3"/>
  <c r="AD14" i="3" s="1"/>
  <c r="Y14" i="3"/>
  <c r="CC7" i="4"/>
  <c r="R25" i="6"/>
  <c r="M17" i="6"/>
  <c r="R4" i="6"/>
  <c r="L19" i="6"/>
  <c r="R8" i="6"/>
  <c r="R24" i="6"/>
  <c r="AG8" i="3"/>
  <c r="B8" i="17" s="1"/>
  <c r="S17" i="6"/>
  <c r="I15" i="18" s="1"/>
  <c r="L15" i="18" s="1"/>
  <c r="E17" i="19" s="1"/>
  <c r="AQ27" i="5"/>
  <c r="BE27" i="5"/>
  <c r="W4" i="5"/>
  <c r="AD4" i="5" s="1"/>
  <c r="BD4" i="5"/>
  <c r="F29" i="19"/>
  <c r="F29" i="17"/>
  <c r="F20" i="17"/>
  <c r="F20" i="19"/>
  <c r="F23" i="17"/>
  <c r="F23" i="19"/>
  <c r="U28" i="5"/>
  <c r="AB28" i="5" s="1"/>
  <c r="AL28" i="5"/>
  <c r="BA28" i="5"/>
  <c r="CC12" i="4"/>
  <c r="Q27" i="6"/>
  <c r="R27" i="6" s="1"/>
  <c r="L27" i="6"/>
  <c r="M27" i="6" s="1"/>
  <c r="BK5" i="4"/>
  <c r="W5" i="4"/>
  <c r="AD5" i="4" s="1"/>
  <c r="DH5" i="4"/>
  <c r="DN5" i="4" s="1"/>
  <c r="CV25" i="4"/>
  <c r="BZ17" i="4"/>
  <c r="CG17" i="4" s="1"/>
  <c r="AN4" i="5"/>
  <c r="AT4" i="5" s="1"/>
  <c r="BL25" i="4"/>
  <c r="DL10" i="4"/>
  <c r="AP27" i="5"/>
  <c r="AO7" i="5"/>
  <c r="BF28" i="5"/>
  <c r="AN28" i="5"/>
  <c r="AT28" i="5" s="1"/>
  <c r="F21" i="19"/>
  <c r="F21" i="17"/>
  <c r="P16" i="6"/>
  <c r="R16" i="6" s="1"/>
  <c r="K16" i="6"/>
  <c r="M16" i="6" s="1"/>
  <c r="S16" i="6" s="1"/>
  <c r="Y27" i="3"/>
  <c r="BM22" i="4"/>
  <c r="AB29" i="4"/>
  <c r="CE22" i="4"/>
  <c r="CE19" i="4"/>
  <c r="AT17" i="4"/>
  <c r="BL17" i="4"/>
  <c r="DK10" i="4"/>
  <c r="CA12" i="4"/>
  <c r="AT7" i="4"/>
  <c r="DJ5" i="4"/>
  <c r="DM15" i="4"/>
  <c r="AC15" i="4"/>
  <c r="BZ5" i="4"/>
  <c r="CG5" i="4" s="1"/>
  <c r="CD13" i="4"/>
  <c r="BL10" i="4"/>
  <c r="CV10" i="4"/>
  <c r="AA9" i="4"/>
  <c r="AQ5" i="4"/>
  <c r="DH13" i="4"/>
  <c r="DN13" i="4" s="1"/>
  <c r="AC19" i="4"/>
  <c r="AB7" i="4"/>
  <c r="Z12" i="4"/>
  <c r="Y4" i="4"/>
  <c r="AC22" i="4"/>
  <c r="BZ12" i="4"/>
  <c r="CG12" i="4" s="1"/>
  <c r="CQ5" i="4"/>
  <c r="CX5" i="4" s="1"/>
  <c r="BG22" i="4"/>
  <c r="BN22" i="4" s="1"/>
  <c r="AR12" i="4"/>
  <c r="AP18" i="5"/>
  <c r="AO27" i="5"/>
  <c r="AA27" i="5"/>
  <c r="BG16" i="5"/>
  <c r="BD11" i="5"/>
  <c r="AP11" i="5"/>
  <c r="AP22" i="5"/>
  <c r="AO22" i="5"/>
  <c r="AP4" i="5"/>
  <c r="X6" i="5"/>
  <c r="AE6" i="5" s="1"/>
  <c r="W18" i="5"/>
  <c r="AD18" i="5" s="1"/>
  <c r="DE11" i="4"/>
  <c r="T11" i="4"/>
  <c r="BD11" i="4"/>
  <c r="AF17" i="3"/>
  <c r="CD8" i="4"/>
  <c r="CB5" i="4"/>
  <c r="CR5" i="4"/>
  <c r="CY5" i="4" s="1"/>
  <c r="AS5" i="4"/>
  <c r="AC27" i="4"/>
  <c r="CW25" i="4"/>
  <c r="DL29" i="4"/>
  <c r="CV17" i="4"/>
  <c r="CT12" i="4"/>
  <c r="CQ12" i="4"/>
  <c r="CX12" i="4" s="1"/>
  <c r="BG12" i="4"/>
  <c r="BN12" i="4" s="1"/>
  <c r="AQ12" i="4"/>
  <c r="CS12" i="4"/>
  <c r="DL8" i="4"/>
  <c r="BH12" i="4"/>
  <c r="BO12" i="4" s="1"/>
  <c r="CW15" i="4"/>
  <c r="AP5" i="4"/>
  <c r="AW5" i="4" s="1"/>
  <c r="AB13" i="4"/>
  <c r="BL13" i="4"/>
  <c r="CA5" i="4"/>
  <c r="DI5" i="4"/>
  <c r="Y5" i="4"/>
  <c r="Z17" i="4"/>
  <c r="CD15" i="4"/>
  <c r="AP12" i="4"/>
  <c r="AW12" i="4" s="1"/>
  <c r="AU29" i="4"/>
  <c r="BJ5" i="4"/>
  <c r="AT24" i="4"/>
  <c r="CB12" i="4"/>
  <c r="BG5" i="4"/>
  <c r="BN5" i="4" s="1"/>
  <c r="AQ13" i="4"/>
  <c r="CT5" i="4"/>
  <c r="AU25" i="4"/>
  <c r="W9" i="4"/>
  <c r="AD9" i="4" s="1"/>
  <c r="CU9" i="4"/>
  <c r="CA9" i="4"/>
  <c r="DJ9" i="4"/>
  <c r="BC27" i="5"/>
  <c r="BI27" i="5" s="1"/>
  <c r="BD18" i="5"/>
  <c r="AA18" i="5"/>
  <c r="BA26" i="5"/>
  <c r="X12" i="5"/>
  <c r="AE12" i="5" s="1"/>
  <c r="Z18" i="5"/>
  <c r="Y18" i="5"/>
  <c r="F12" i="17"/>
  <c r="F12" i="19"/>
  <c r="O15" i="7"/>
  <c r="M4" i="6"/>
  <c r="S4" i="6" s="1"/>
  <c r="L11" i="6"/>
  <c r="Q11" i="6"/>
  <c r="L18" i="6"/>
  <c r="Q18" i="6"/>
  <c r="L26" i="6"/>
  <c r="M26" i="6" s="1"/>
  <c r="S26" i="6" s="1"/>
  <c r="Q26" i="6"/>
  <c r="R26" i="6" s="1"/>
  <c r="N10" i="7"/>
  <c r="M10" i="7"/>
  <c r="Z4" i="5"/>
  <c r="W27" i="5"/>
  <c r="AD27" i="5" s="1"/>
  <c r="BM19" i="4"/>
  <c r="W27" i="3"/>
  <c r="AD27" i="3" s="1"/>
  <c r="BC12" i="5"/>
  <c r="BI12" i="5" s="1"/>
  <c r="R19" i="6"/>
  <c r="AL9" i="5"/>
  <c r="AR9" i="5" s="1"/>
  <c r="U9" i="5"/>
  <c r="AB9" i="5" s="1"/>
  <c r="R11" i="6"/>
  <c r="M29" i="2"/>
  <c r="AS9" i="5"/>
  <c r="Z25" i="3"/>
  <c r="AF25" i="3" s="1"/>
  <c r="R29" i="6"/>
  <c r="AF18" i="3"/>
  <c r="AF21" i="3"/>
  <c r="AG21" i="3"/>
  <c r="AF7" i="3"/>
  <c r="AG7" i="3" s="1"/>
  <c r="CV29" i="4"/>
  <c r="AO24" i="4"/>
  <c r="AV24" i="4" s="1"/>
  <c r="BM27" i="4"/>
  <c r="CE27" i="4"/>
  <c r="DL25" i="4"/>
  <c r="DJ24" i="4"/>
  <c r="CR24" i="4"/>
  <c r="CY24" i="4" s="1"/>
  <c r="X24" i="4"/>
  <c r="AE24" i="4" s="1"/>
  <c r="CS22" i="4"/>
  <c r="DM22" i="4"/>
  <c r="CC18" i="4"/>
  <c r="X22" i="4"/>
  <c r="AE22" i="4" s="1"/>
  <c r="DM19" i="4"/>
  <c r="DJ18" i="4"/>
  <c r="CA18" i="4"/>
  <c r="BH18" i="4"/>
  <c r="BO18" i="4" s="1"/>
  <c r="CS24" i="4"/>
  <c r="Y24" i="4"/>
  <c r="BI18" i="4"/>
  <c r="AB17" i="4"/>
  <c r="CU22" i="4"/>
  <c r="AA22" i="4"/>
  <c r="DH12" i="4"/>
  <c r="DN12" i="4" s="1"/>
  <c r="AR22" i="4"/>
  <c r="Y21" i="4"/>
  <c r="CW13" i="4"/>
  <c r="DL11" i="4"/>
  <c r="DH9" i="4"/>
  <c r="DN9" i="4" s="1"/>
  <c r="BE12" i="4"/>
  <c r="Y12" i="4"/>
  <c r="AC8" i="4"/>
  <c r="DK7" i="4"/>
  <c r="DO7" i="4" s="1"/>
  <c r="DP7" i="4" s="1"/>
  <c r="DI7" i="4"/>
  <c r="AB8" i="4"/>
  <c r="AU15" i="4"/>
  <c r="BM15" i="4"/>
  <c r="CB7" i="4"/>
  <c r="X5" i="4"/>
  <c r="AE5" i="4" s="1"/>
  <c r="CV13" i="4"/>
  <c r="AT10" i="4"/>
  <c r="CD10" i="4"/>
  <c r="BG9" i="4"/>
  <c r="BN9" i="4" s="1"/>
  <c r="CQ7" i="4"/>
  <c r="CX7" i="4" s="1"/>
  <c r="BI5" i="4"/>
  <c r="AS24" i="4"/>
  <c r="CC5" i="4"/>
  <c r="CD19" i="4"/>
  <c r="Y17" i="4"/>
  <c r="AO12" i="4"/>
  <c r="AV12" i="4" s="1"/>
  <c r="AA24" i="4"/>
  <c r="AA7" i="4"/>
  <c r="AO5" i="4"/>
  <c r="AV5" i="4" s="1"/>
  <c r="Z24" i="4"/>
  <c r="W18" i="4"/>
  <c r="AD18" i="4" s="1"/>
  <c r="CR13" i="4"/>
  <c r="CY13" i="4" s="1"/>
  <c r="CS9" i="4"/>
  <c r="BH7" i="4"/>
  <c r="BO7" i="4" s="1"/>
  <c r="AP9" i="4"/>
  <c r="AW9" i="4" s="1"/>
  <c r="CB9" i="4"/>
  <c r="BJ17" i="4"/>
  <c r="AN29" i="5"/>
  <c r="AT29" i="5" s="1"/>
  <c r="AO18" i="5"/>
  <c r="BF22" i="5"/>
  <c r="BF18" i="5"/>
  <c r="AB29" i="5"/>
  <c r="AR27" i="5"/>
  <c r="AA29" i="5"/>
  <c r="BD22" i="5"/>
  <c r="AA21" i="5"/>
  <c r="Z29" i="5"/>
  <c r="X27" i="5"/>
  <c r="AE27" i="5" s="1"/>
  <c r="Z21" i="5"/>
  <c r="AS18" i="5"/>
  <c r="AN18" i="5"/>
  <c r="AT18" i="5" s="1"/>
  <c r="BH27" i="5"/>
  <c r="AN22" i="5"/>
  <c r="AT22" i="5" s="1"/>
  <c r="BE20" i="5"/>
  <c r="BG12" i="5"/>
  <c r="AR8" i="5"/>
  <c r="Y4" i="5"/>
  <c r="BE6" i="5"/>
  <c r="BH9" i="5"/>
  <c r="AF19" i="5"/>
  <c r="Y21" i="5"/>
  <c r="Z27" i="5"/>
  <c r="X21" i="5"/>
  <c r="AE21" i="5" s="1"/>
  <c r="X4" i="5"/>
  <c r="AE4" i="5" s="1"/>
  <c r="Z26" i="5"/>
  <c r="AA10" i="5"/>
  <c r="X10" i="5"/>
  <c r="AE10" i="5" s="1"/>
  <c r="Y29" i="5"/>
  <c r="M28" i="6"/>
  <c r="R15" i="6"/>
  <c r="R22" i="6"/>
  <c r="Q14" i="6"/>
  <c r="R14" i="6" s="1"/>
  <c r="K13" i="6"/>
  <c r="M13" i="6" s="1"/>
  <c r="M13" i="7"/>
  <c r="N13" i="7"/>
  <c r="AO20" i="5"/>
  <c r="AF29" i="3"/>
  <c r="BE26" i="5"/>
  <c r="W6" i="3"/>
  <c r="AD6" i="3" s="1"/>
  <c r="H26" i="5"/>
  <c r="H26" i="4"/>
  <c r="H26" i="3"/>
  <c r="V26" i="3" s="1"/>
  <c r="AC26" i="3" s="1"/>
  <c r="O8" i="7"/>
  <c r="BC4" i="5"/>
  <c r="BI4" i="5" s="1"/>
  <c r="W21" i="5"/>
  <c r="AD21" i="5" s="1"/>
  <c r="AN6" i="5"/>
  <c r="AT6" i="5" s="1"/>
  <c r="F25" i="19"/>
  <c r="F25" i="17"/>
  <c r="R21" i="6"/>
  <c r="R18" i="6"/>
  <c r="V11" i="5"/>
  <c r="AC11" i="5" s="1"/>
  <c r="AM11" i="5"/>
  <c r="AS11" i="5" s="1"/>
  <c r="AA25" i="3"/>
  <c r="BH18" i="5"/>
  <c r="O16" i="7"/>
  <c r="X25" i="3"/>
  <c r="AE25" i="3" s="1"/>
  <c r="F14" i="5"/>
  <c r="F14" i="3"/>
  <c r="T14" i="3" s="1"/>
  <c r="AA14" i="3" s="1"/>
  <c r="AF14" i="3" s="1"/>
  <c r="AG14" i="3" s="1"/>
  <c r="F14" i="4"/>
  <c r="P6" i="6"/>
  <c r="H12" i="5"/>
  <c r="H12" i="3"/>
  <c r="V12" i="3" s="1"/>
  <c r="AC12" i="3" s="1"/>
  <c r="AF12" i="3" s="1"/>
  <c r="AG12" i="3" s="1"/>
  <c r="BC18" i="5"/>
  <c r="BI18" i="5" s="1"/>
  <c r="AB15" i="5"/>
  <c r="AN11" i="5"/>
  <c r="AT11" i="5" s="1"/>
  <c r="AC27" i="5"/>
  <c r="AP20" i="5"/>
  <c r="AA11" i="5"/>
  <c r="AB8" i="5"/>
  <c r="AQ4" i="5"/>
  <c r="AQ13" i="5"/>
  <c r="BD6" i="5"/>
  <c r="AO4" i="5"/>
  <c r="BE10" i="5"/>
  <c r="BF4" i="5"/>
  <c r="AO11" i="5"/>
  <c r="Y6" i="5"/>
  <c r="Y26" i="5"/>
  <c r="BD21" i="5"/>
  <c r="AQ21" i="5"/>
  <c r="Y10" i="5"/>
  <c r="O6" i="7"/>
  <c r="M25" i="6"/>
  <c r="S25" i="6" s="1"/>
  <c r="I23" i="18" s="1"/>
  <c r="L23" i="18" s="1"/>
  <c r="E25" i="19" s="1"/>
  <c r="K9" i="6"/>
  <c r="M9" i="6" s="1"/>
  <c r="S9" i="6" s="1"/>
  <c r="Q7" i="6"/>
  <c r="R7" i="6" s="1"/>
  <c r="BM11" i="4"/>
  <c r="W29" i="5"/>
  <c r="AD29" i="5" s="1"/>
  <c r="W25" i="3"/>
  <c r="AD25" i="3" s="1"/>
  <c r="Y13" i="3"/>
  <c r="AF13" i="3" s="1"/>
  <c r="X29" i="3"/>
  <c r="AE29" i="3" s="1"/>
  <c r="AG29" i="3" s="1"/>
  <c r="AC19" i="3"/>
  <c r="AA13" i="3"/>
  <c r="Z19" i="3"/>
  <c r="AF19" i="3" s="1"/>
  <c r="AG19" i="3" s="1"/>
  <c r="Z5" i="3"/>
  <c r="AF5" i="3" s="1"/>
  <c r="AG5" i="3" s="1"/>
  <c r="AC11" i="3"/>
  <c r="AF11" i="3" s="1"/>
  <c r="AG11" i="3" s="1"/>
  <c r="AC25" i="3"/>
  <c r="W13" i="3"/>
  <c r="AD13" i="3" s="1"/>
  <c r="Z4" i="3"/>
  <c r="AF4" i="3" s="1"/>
  <c r="AG4" i="3" s="1"/>
  <c r="H4" i="4"/>
  <c r="H4" i="3"/>
  <c r="V4" i="3" s="1"/>
  <c r="AC4" i="3" s="1"/>
  <c r="BJ16" i="5"/>
  <c r="AG16" i="3"/>
  <c r="AF15" i="3"/>
  <c r="AG15" i="3" s="1"/>
  <c r="CN14" i="4"/>
  <c r="CU14" i="4" s="1"/>
  <c r="BJ5" i="5"/>
  <c r="T14" i="4"/>
  <c r="AA14" i="4" s="1"/>
  <c r="DE14" i="4"/>
  <c r="DK14" i="4" s="1"/>
  <c r="BA7" i="5"/>
  <c r="BG7" i="5" s="1"/>
  <c r="BJ4" i="5"/>
  <c r="AK12" i="5"/>
  <c r="AQ12" i="5" s="1"/>
  <c r="AZ12" i="5"/>
  <c r="BJ23" i="5"/>
  <c r="AF9" i="3"/>
  <c r="AG9" i="3" s="1"/>
  <c r="AX29" i="4"/>
  <c r="BD12" i="4"/>
  <c r="BK12" i="4" s="1"/>
  <c r="CP11" i="4"/>
  <c r="CW11" i="4" s="1"/>
  <c r="V11" i="4"/>
  <c r="AC11" i="4" s="1"/>
  <c r="U18" i="5"/>
  <c r="AL7" i="5"/>
  <c r="AR7" i="5" s="1"/>
  <c r="AL18" i="5"/>
  <c r="AF29" i="5"/>
  <c r="AF22" i="3"/>
  <c r="AG22" i="3" s="1"/>
  <c r="B22" i="17" s="1"/>
  <c r="BX11" i="4"/>
  <c r="CE11" i="4" s="1"/>
  <c r="DG11" i="4"/>
  <c r="DM11" i="4" s="1"/>
  <c r="AN11" i="4"/>
  <c r="BJ17" i="5"/>
  <c r="BG18" i="5"/>
  <c r="AF24" i="3"/>
  <c r="AG24" i="3" s="1"/>
  <c r="BM28" i="4"/>
  <c r="CZ29" i="4"/>
  <c r="DA29" i="4" s="1"/>
  <c r="AU17" i="5"/>
  <c r="AR28" i="5"/>
  <c r="AU20" i="5"/>
  <c r="AL11" i="5"/>
  <c r="AR11" i="5" s="1"/>
  <c r="U11" i="5"/>
  <c r="AB11" i="5" s="1"/>
  <c r="AF26" i="3"/>
  <c r="AG26" i="3" s="1"/>
  <c r="AG17" i="3"/>
  <c r="BD14" i="4"/>
  <c r="BK14" i="4" s="1"/>
  <c r="DE12" i="4"/>
  <c r="DK12" i="4" s="1"/>
  <c r="T12" i="4"/>
  <c r="AG18" i="3"/>
  <c r="AU24" i="5"/>
  <c r="AV24" i="5" s="1"/>
  <c r="AU25" i="5"/>
  <c r="AU23" i="5"/>
  <c r="BP29" i="4"/>
  <c r="CZ22" i="4"/>
  <c r="CD23" i="4"/>
  <c r="AF9" i="4"/>
  <c r="W6" i="4"/>
  <c r="AD6" i="4" s="1"/>
  <c r="BJ24" i="5"/>
  <c r="AF24" i="5"/>
  <c r="AG24" i="5" s="1"/>
  <c r="AF23" i="5"/>
  <c r="AU5" i="5"/>
  <c r="BJ9" i="5"/>
  <c r="BK9" i="5" s="1"/>
  <c r="AU19" i="5"/>
  <c r="AV19" i="5" s="1"/>
  <c r="AF4" i="5"/>
  <c r="AU9" i="5"/>
  <c r="CZ27" i="4"/>
  <c r="BJ20" i="5"/>
  <c r="AF9" i="5"/>
  <c r="AG9" i="5" s="1"/>
  <c r="AF29" i="4"/>
  <c r="AG29" i="4" s="1"/>
  <c r="AF27" i="4"/>
  <c r="BJ29" i="5"/>
  <c r="AU6" i="5"/>
  <c r="AF17" i="5"/>
  <c r="DO29" i="4"/>
  <c r="BP27" i="4"/>
  <c r="BQ27" i="4" s="1"/>
  <c r="BJ22" i="5"/>
  <c r="BJ8" i="5"/>
  <c r="AF5" i="5"/>
  <c r="CH27" i="4"/>
  <c r="CI27" i="4" s="1"/>
  <c r="CH29" i="4"/>
  <c r="BJ18" i="5"/>
  <c r="AU22" i="5"/>
  <c r="AV22" i="5" s="1"/>
  <c r="BJ25" i="5"/>
  <c r="AF21" i="5"/>
  <c r="AU21" i="5"/>
  <c r="AV21" i="5" s="1"/>
  <c r="X13" i="5"/>
  <c r="AE13" i="5" s="1"/>
  <c r="AU27" i="5"/>
  <c r="AU8" i="5"/>
  <c r="AV8" i="5" s="1"/>
  <c r="AF8" i="5"/>
  <c r="AG8" i="5" s="1"/>
  <c r="DO27" i="4"/>
  <c r="DP27" i="4" s="1"/>
  <c r="AF28" i="3"/>
  <c r="AG28" i="3" s="1"/>
  <c r="CE21" i="4"/>
  <c r="BL21" i="4"/>
  <c r="AX27" i="4"/>
  <c r="AF27" i="5"/>
  <c r="AG27" i="5" s="1"/>
  <c r="AF20" i="5"/>
  <c r="BJ19" i="5"/>
  <c r="BK19" i="5" s="1"/>
  <c r="M26" i="7"/>
  <c r="O26" i="7" s="1"/>
  <c r="N26" i="7"/>
  <c r="N18" i="7"/>
  <c r="O18" i="7" s="1"/>
  <c r="B30" i="7"/>
  <c r="M17" i="7"/>
  <c r="O17" i="7" s="1"/>
  <c r="M20" i="6"/>
  <c r="M24" i="6"/>
  <c r="S24" i="6" s="1"/>
  <c r="E24" i="17" s="1"/>
  <c r="P12" i="6"/>
  <c r="R12" i="6" s="1"/>
  <c r="K12" i="6"/>
  <c r="M12" i="6" s="1"/>
  <c r="M22" i="6"/>
  <c r="S22" i="6" s="1"/>
  <c r="I20" i="18" s="1"/>
  <c r="L20" i="18" s="1"/>
  <c r="E22" i="19" s="1"/>
  <c r="L5" i="6"/>
  <c r="Q6" i="6"/>
  <c r="M19" i="6"/>
  <c r="S19" i="6" s="1"/>
  <c r="I17" i="18" s="1"/>
  <c r="L17" i="18" s="1"/>
  <c r="E19" i="19" s="1"/>
  <c r="N22" i="7"/>
  <c r="O22" i="7" s="1"/>
  <c r="K10" i="6"/>
  <c r="M10" i="6" s="1"/>
  <c r="S10" i="6" s="1"/>
  <c r="M29" i="6"/>
  <c r="M23" i="6"/>
  <c r="S23" i="6" s="1"/>
  <c r="E23" i="17" s="1"/>
  <c r="M6" i="6"/>
  <c r="M28" i="7"/>
  <c r="O28" i="7" s="1"/>
  <c r="P20" i="6"/>
  <c r="R20" i="6" s="1"/>
  <c r="K15" i="6"/>
  <c r="M21" i="6"/>
  <c r="M8" i="6"/>
  <c r="S8" i="6" s="1"/>
  <c r="I6" i="18" s="1"/>
  <c r="L6" i="18" s="1"/>
  <c r="E8" i="19" s="1"/>
  <c r="M11" i="6"/>
  <c r="S11" i="6" s="1"/>
  <c r="E11" i="17" s="1"/>
  <c r="M18" i="6"/>
  <c r="P13" i="6"/>
  <c r="R13" i="6" s="1"/>
  <c r="E25" i="17"/>
  <c r="N14" i="7"/>
  <c r="M14" i="7"/>
  <c r="O14" i="7" s="1"/>
  <c r="I21" i="18"/>
  <c r="L21" i="18" s="1"/>
  <c r="E23" i="19" s="1"/>
  <c r="N19" i="7"/>
  <c r="M19" i="7"/>
  <c r="C30" i="7"/>
  <c r="D4" i="7"/>
  <c r="P28" i="6"/>
  <c r="R28" i="6" s="1"/>
  <c r="M7" i="7"/>
  <c r="N7" i="7"/>
  <c r="D11" i="7"/>
  <c r="L11" i="7" s="1"/>
  <c r="I7" i="18"/>
  <c r="L7" i="18" s="1"/>
  <c r="E9" i="19" s="1"/>
  <c r="E9" i="17"/>
  <c r="N5" i="7"/>
  <c r="M5" i="7"/>
  <c r="O5" i="7" s="1"/>
  <c r="K7" i="6"/>
  <c r="E8" i="17"/>
  <c r="N27" i="7"/>
  <c r="M27" i="7"/>
  <c r="N9" i="7"/>
  <c r="M9" i="7"/>
  <c r="N24" i="7"/>
  <c r="M24" i="7"/>
  <c r="E19" i="17"/>
  <c r="AV17" i="5"/>
  <c r="B21" i="17"/>
  <c r="B18" i="17"/>
  <c r="BD28" i="5"/>
  <c r="AS16" i="5"/>
  <c r="AU16" i="5" s="1"/>
  <c r="AV16" i="5" s="1"/>
  <c r="AO15" i="5"/>
  <c r="BD12" i="5"/>
  <c r="W15" i="5"/>
  <c r="AD15" i="5" s="1"/>
  <c r="AN15" i="5"/>
  <c r="AT15" i="5" s="1"/>
  <c r="W28" i="5"/>
  <c r="AD28" i="5" s="1"/>
  <c r="AA15" i="5"/>
  <c r="Y15" i="5"/>
  <c r="AC13" i="5"/>
  <c r="AV9" i="5"/>
  <c r="X28" i="5"/>
  <c r="AE28" i="5" s="1"/>
  <c r="BF15" i="5"/>
  <c r="BE28" i="5"/>
  <c r="BH21" i="5"/>
  <c r="BJ21" i="5" s="1"/>
  <c r="BK21" i="5" s="1"/>
  <c r="AQ15" i="5"/>
  <c r="BH13" i="5"/>
  <c r="Z11" i="5"/>
  <c r="AB6" i="5"/>
  <c r="AF6" i="5" s="1"/>
  <c r="AG6" i="5" s="1"/>
  <c r="AO28" i="5"/>
  <c r="AP26" i="5"/>
  <c r="BE15" i="5"/>
  <c r="AS13" i="5"/>
  <c r="Z7" i="5"/>
  <c r="AP15" i="5"/>
  <c r="BC11" i="5"/>
  <c r="BI11" i="5" s="1"/>
  <c r="AQ11" i="5"/>
  <c r="AU11" i="5" s="1"/>
  <c r="AV11" i="5" s="1"/>
  <c r="AQ7" i="5"/>
  <c r="AU7" i="5" s="1"/>
  <c r="BE11" i="5"/>
  <c r="AA7" i="5"/>
  <c r="BF10" i="5"/>
  <c r="BJ10" i="5" s="1"/>
  <c r="Y11" i="5"/>
  <c r="Y25" i="5"/>
  <c r="AF25" i="5" s="1"/>
  <c r="W22" i="5"/>
  <c r="AD22" i="5" s="1"/>
  <c r="BC28" i="5"/>
  <c r="BI28" i="5" s="1"/>
  <c r="Z28" i="5"/>
  <c r="AF28" i="5" s="1"/>
  <c r="BG26" i="5"/>
  <c r="Z15" i="5"/>
  <c r="BG6" i="5"/>
  <c r="BJ6" i="5" s="1"/>
  <c r="BK6" i="5" s="1"/>
  <c r="BK4" i="5"/>
  <c r="AR18" i="5"/>
  <c r="AU18" i="5" s="1"/>
  <c r="AV18" i="5" s="1"/>
  <c r="Z22" i="5"/>
  <c r="AF22" i="5" s="1"/>
  <c r="AQ28" i="5"/>
  <c r="AR26" i="5"/>
  <c r="AC16" i="5"/>
  <c r="BC15" i="5"/>
  <c r="BI15" i="5" s="1"/>
  <c r="AP28" i="5"/>
  <c r="BF11" i="5"/>
  <c r="AP12" i="5"/>
  <c r="X7" i="5"/>
  <c r="AE7" i="5" s="1"/>
  <c r="W7" i="5"/>
  <c r="AD7" i="5" s="1"/>
  <c r="X17" i="5"/>
  <c r="Y7" i="5"/>
  <c r="BF7" i="5"/>
  <c r="BK18" i="5"/>
  <c r="Y13" i="5"/>
  <c r="BD7" i="5"/>
  <c r="AN7" i="5"/>
  <c r="AP13" i="5"/>
  <c r="AN13" i="5"/>
  <c r="AT13" i="5" s="1"/>
  <c r="AB16" i="5"/>
  <c r="AF16" i="5" s="1"/>
  <c r="AS4" i="5"/>
  <c r="AU4" i="5" s="1"/>
  <c r="W25" i="5"/>
  <c r="AD25" i="5" s="1"/>
  <c r="AB18" i="5"/>
  <c r="AF18" i="5" s="1"/>
  <c r="AV27" i="5"/>
  <c r="AV25" i="5"/>
  <c r="AO12" i="5"/>
  <c r="AB14" i="5"/>
  <c r="AR14" i="5"/>
  <c r="BD27" i="5"/>
  <c r="BK8" i="5"/>
  <c r="AG5" i="5"/>
  <c r="AA13" i="5"/>
  <c r="W11" i="5"/>
  <c r="Z13" i="5"/>
  <c r="AV23" i="5"/>
  <c r="Z12" i="5"/>
  <c r="AV5" i="5"/>
  <c r="BF13" i="5"/>
  <c r="BJ13" i="5" s="1"/>
  <c r="BF12" i="5"/>
  <c r="AS29" i="5"/>
  <c r="BC13" i="5"/>
  <c r="BI13" i="5" s="1"/>
  <c r="BG27" i="5"/>
  <c r="AG20" i="5"/>
  <c r="AN12" i="5"/>
  <c r="AT12" i="5" s="1"/>
  <c r="BE7" i="5"/>
  <c r="BC7" i="5"/>
  <c r="BI7" i="5" s="1"/>
  <c r="BG28" i="5"/>
  <c r="AG23" i="5"/>
  <c r="AP14" i="5"/>
  <c r="BK20" i="5"/>
  <c r="AR12" i="5"/>
  <c r="X14" i="5"/>
  <c r="AE14" i="5" s="1"/>
  <c r="AC14" i="5"/>
  <c r="AS14" i="5"/>
  <c r="BE14" i="5"/>
  <c r="AO14" i="5"/>
  <c r="AS10" i="5"/>
  <c r="AU10" i="5" s="1"/>
  <c r="AV10" i="5" s="1"/>
  <c r="BH10" i="5"/>
  <c r="AC10" i="5"/>
  <c r="AF10" i="5" s="1"/>
  <c r="AG10" i="5" s="1"/>
  <c r="BE12" i="5"/>
  <c r="AA12" i="5"/>
  <c r="W12" i="5"/>
  <c r="AD12" i="5" s="1"/>
  <c r="BK29" i="5"/>
  <c r="BK25" i="5"/>
  <c r="BK5" i="5"/>
  <c r="BK17" i="5"/>
  <c r="BK22" i="5"/>
  <c r="AG19" i="5"/>
  <c r="Y12" i="5"/>
  <c r="Z14" i="5"/>
  <c r="BK16" i="5"/>
  <c r="BC14" i="5"/>
  <c r="BI14" i="5" s="1"/>
  <c r="Y14" i="5"/>
  <c r="AV20" i="5"/>
  <c r="BK24" i="5"/>
  <c r="AG29" i="5"/>
  <c r="BK23" i="5"/>
  <c r="AB12" i="5"/>
  <c r="W14" i="5"/>
  <c r="AD14" i="5" s="1"/>
  <c r="AV6" i="5"/>
  <c r="BD14" i="5"/>
  <c r="CV28" i="4"/>
  <c r="BM20" i="4"/>
  <c r="AC17" i="4"/>
  <c r="AT12" i="4"/>
  <c r="BK20" i="4"/>
  <c r="CE20" i="4"/>
  <c r="BL15" i="4"/>
  <c r="BH10" i="4"/>
  <c r="BO10" i="4" s="1"/>
  <c r="CS14" i="4"/>
  <c r="CS20" i="4"/>
  <c r="CW20" i="4"/>
  <c r="AU21" i="4"/>
  <c r="AT15" i="4"/>
  <c r="DL12" i="4"/>
  <c r="AU20" i="4"/>
  <c r="AC21" i="4"/>
  <c r="AB12" i="4"/>
  <c r="AT28" i="4"/>
  <c r="AC20" i="4"/>
  <c r="DM21" i="4"/>
  <c r="CV12" i="4"/>
  <c r="BI14" i="4"/>
  <c r="CS17" i="4"/>
  <c r="AB28" i="4"/>
  <c r="CW21" i="4"/>
  <c r="CE17" i="4"/>
  <c r="BL12" i="4"/>
  <c r="BP12" i="4" s="1"/>
  <c r="CW17" i="4"/>
  <c r="BG18" i="4"/>
  <c r="BN18" i="4" s="1"/>
  <c r="Z14" i="4"/>
  <c r="DJ14" i="4"/>
  <c r="DI14" i="4"/>
  <c r="CQ15" i="4"/>
  <c r="CX15" i="4" s="1"/>
  <c r="AO15" i="4"/>
  <c r="AV15" i="4" s="1"/>
  <c r="AA13" i="4"/>
  <c r="AS15" i="4"/>
  <c r="CD4" i="4"/>
  <c r="BH13" i="4"/>
  <c r="BO13" i="4" s="1"/>
  <c r="AA15" i="4"/>
  <c r="CW19" i="4"/>
  <c r="CW16" i="4"/>
  <c r="CW28" i="4"/>
  <c r="DK15" i="4"/>
  <c r="AA16" i="4"/>
  <c r="AR15" i="4"/>
  <c r="Y15" i="4"/>
  <c r="CC13" i="4"/>
  <c r="BY13" i="4"/>
  <c r="CF13" i="4" s="1"/>
  <c r="AP13" i="4"/>
  <c r="AW13" i="4" s="1"/>
  <c r="DM10" i="4"/>
  <c r="CT13" i="4"/>
  <c r="X13" i="4"/>
  <c r="AE13" i="4" s="1"/>
  <c r="BH9" i="4"/>
  <c r="BO9" i="4" s="1"/>
  <c r="CV9" i="4"/>
  <c r="CZ9" i="4" s="1"/>
  <c r="DA9" i="4" s="1"/>
  <c r="BZ15" i="4"/>
  <c r="CG15" i="4" s="1"/>
  <c r="CB15" i="4"/>
  <c r="AR13" i="4"/>
  <c r="Z15" i="4"/>
  <c r="DI15" i="4"/>
  <c r="DK13" i="4"/>
  <c r="Y11" i="4"/>
  <c r="AO13" i="4"/>
  <c r="AV13" i="4" s="1"/>
  <c r="BM10" i="4"/>
  <c r="DL6" i="4"/>
  <c r="DI13" i="4"/>
  <c r="BJ15" i="4"/>
  <c r="X9" i="4"/>
  <c r="AE9" i="4" s="1"/>
  <c r="BG14" i="4"/>
  <c r="BN14" i="4" s="1"/>
  <c r="AC28" i="4"/>
  <c r="BG15" i="4"/>
  <c r="BN15" i="4" s="1"/>
  <c r="BI15" i="4"/>
  <c r="Z13" i="4"/>
  <c r="CT15" i="4"/>
  <c r="CS15" i="4"/>
  <c r="BK13" i="4"/>
  <c r="AU10" i="4"/>
  <c r="CQ13" i="4"/>
  <c r="CX13" i="4" s="1"/>
  <c r="W15" i="4"/>
  <c r="AD15" i="4" s="1"/>
  <c r="AP15" i="4"/>
  <c r="AW15" i="4" s="1"/>
  <c r="CA15" i="4"/>
  <c r="BH15" i="4"/>
  <c r="BO15" i="4" s="1"/>
  <c r="AS13" i="4"/>
  <c r="CW10" i="4"/>
  <c r="AC10" i="4"/>
  <c r="CA16" i="4"/>
  <c r="BG13" i="4"/>
  <c r="BN13" i="4" s="1"/>
  <c r="CA13" i="4"/>
  <c r="DJ15" i="4"/>
  <c r="DH15" i="4"/>
  <c r="DN15" i="4" s="1"/>
  <c r="BJ13" i="4"/>
  <c r="BP13" i="4" s="1"/>
  <c r="W13" i="4"/>
  <c r="AD13" i="4" s="1"/>
  <c r="CB13" i="4"/>
  <c r="AU28" i="4"/>
  <c r="X15" i="4"/>
  <c r="AE15" i="4" s="1"/>
  <c r="CS13" i="4"/>
  <c r="CZ13" i="4" s="1"/>
  <c r="CU15" i="4"/>
  <c r="AR5" i="4"/>
  <c r="AX5" i="4" s="1"/>
  <c r="AY5" i="4" s="1"/>
  <c r="BZ9" i="4"/>
  <c r="CG9" i="4" s="1"/>
  <c r="BH25" i="4"/>
  <c r="BO25" i="4" s="1"/>
  <c r="AA25" i="4"/>
  <c r="CT25" i="4"/>
  <c r="BL28" i="4"/>
  <c r="DL9" i="4"/>
  <c r="DO9" i="4" s="1"/>
  <c r="DP9" i="4" s="1"/>
  <c r="Y25" i="4"/>
  <c r="BI25" i="4"/>
  <c r="AO25" i="4"/>
  <c r="AV25" i="4" s="1"/>
  <c r="DK25" i="4"/>
  <c r="CB25" i="4"/>
  <c r="CH25" i="4" s="1"/>
  <c r="AT6" i="4"/>
  <c r="CQ28" i="4"/>
  <c r="CX28" i="4" s="1"/>
  <c r="AT9" i="4"/>
  <c r="AX9" i="4" s="1"/>
  <c r="AY9" i="4" s="1"/>
  <c r="AR7" i="4"/>
  <c r="AR17" i="4"/>
  <c r="BZ13" i="4"/>
  <c r="CG13" i="4" s="1"/>
  <c r="DM24" i="4"/>
  <c r="DO24" i="4" s="1"/>
  <c r="DP24" i="4" s="1"/>
  <c r="AQ25" i="4"/>
  <c r="AP25" i="4"/>
  <c r="AW25" i="4" s="1"/>
  <c r="CQ25" i="4"/>
  <c r="CX25" i="4" s="1"/>
  <c r="BJ25" i="4"/>
  <c r="AQ28" i="4"/>
  <c r="BG25" i="4"/>
  <c r="BN25" i="4" s="1"/>
  <c r="X25" i="4"/>
  <c r="AE25" i="4" s="1"/>
  <c r="W25" i="4"/>
  <c r="AD25" i="4" s="1"/>
  <c r="AR25" i="4"/>
  <c r="AU7" i="4"/>
  <c r="CR25" i="4"/>
  <c r="CY25" i="4" s="1"/>
  <c r="Y16" i="4"/>
  <c r="X11" i="4"/>
  <c r="AE11" i="4" s="1"/>
  <c r="BZ25" i="4"/>
  <c r="CG25" i="4" s="1"/>
  <c r="AU24" i="4"/>
  <c r="AX24" i="4" s="1"/>
  <c r="AY24" i="4" s="1"/>
  <c r="CU25" i="4"/>
  <c r="Z25" i="4"/>
  <c r="CV6" i="4"/>
  <c r="CS25" i="4"/>
  <c r="CQ18" i="4"/>
  <c r="CX18" i="4" s="1"/>
  <c r="AU11" i="4"/>
  <c r="CC25" i="4"/>
  <c r="BL9" i="4"/>
  <c r="BP9" i="4" s="1"/>
  <c r="AA8" i="4"/>
  <c r="Z8" i="4"/>
  <c r="AC24" i="4"/>
  <c r="DJ25" i="4"/>
  <c r="DO25" i="4" s="1"/>
  <c r="DP25" i="4" s="1"/>
  <c r="BK25" i="4"/>
  <c r="CR7" i="4"/>
  <c r="CY7" i="4" s="1"/>
  <c r="CD9" i="4"/>
  <c r="CH9" i="4" s="1"/>
  <c r="DJ13" i="4"/>
  <c r="DK16" i="4"/>
  <c r="AU18" i="4"/>
  <c r="CA21" i="4"/>
  <c r="DJ10" i="4"/>
  <c r="CQ8" i="4"/>
  <c r="CX8" i="4" s="1"/>
  <c r="AS11" i="4"/>
  <c r="CR8" i="4"/>
  <c r="CY8" i="4" s="1"/>
  <c r="CA10" i="4"/>
  <c r="Z16" i="4"/>
  <c r="BY10" i="4"/>
  <c r="CF10" i="4" s="1"/>
  <c r="CQ11" i="4"/>
  <c r="CX11" i="4" s="1"/>
  <c r="CR10" i="4"/>
  <c r="CY10" i="4" s="1"/>
  <c r="CU8" i="4"/>
  <c r="CS16" i="4"/>
  <c r="AO21" i="4"/>
  <c r="AV21" i="4" s="1"/>
  <c r="Z10" i="4"/>
  <c r="DH8" i="4"/>
  <c r="DN8" i="4" s="1"/>
  <c r="CB8" i="4"/>
  <c r="DL22" i="4"/>
  <c r="DO22" i="4" s="1"/>
  <c r="DP22" i="4" s="1"/>
  <c r="BG21" i="4"/>
  <c r="BN21" i="4" s="1"/>
  <c r="DI16" i="4"/>
  <c r="AC18" i="4"/>
  <c r="AQ21" i="4"/>
  <c r="AQ16" i="4"/>
  <c r="CU10" i="4"/>
  <c r="AA11" i="4"/>
  <c r="AQ10" i="4"/>
  <c r="BG10" i="4"/>
  <c r="BN10" i="4" s="1"/>
  <c r="BZ10" i="4"/>
  <c r="CG10" i="4" s="1"/>
  <c r="BK8" i="4"/>
  <c r="CW7" i="4"/>
  <c r="CZ7" i="4" s="1"/>
  <c r="DJ8" i="4"/>
  <c r="AR10" i="4"/>
  <c r="BH8" i="4"/>
  <c r="BO8" i="4" s="1"/>
  <c r="BJ21" i="4"/>
  <c r="CT21" i="4"/>
  <c r="DJ21" i="4"/>
  <c r="AB22" i="4"/>
  <c r="AF22" i="4" s="1"/>
  <c r="AR16" i="4"/>
  <c r="BJ8" i="4"/>
  <c r="CC10" i="4"/>
  <c r="AO16" i="4"/>
  <c r="AV16" i="4" s="1"/>
  <c r="DH16" i="4"/>
  <c r="DN16" i="4" s="1"/>
  <c r="DJ11" i="4"/>
  <c r="X10" i="4"/>
  <c r="AE10" i="4" s="1"/>
  <c r="CC8" i="4"/>
  <c r="CT16" i="4"/>
  <c r="W8" i="4"/>
  <c r="AD8" i="4" s="1"/>
  <c r="BG8" i="4"/>
  <c r="BN8" i="4" s="1"/>
  <c r="BI10" i="4"/>
  <c r="BZ11" i="4"/>
  <c r="CG11" i="4" s="1"/>
  <c r="AO10" i="4"/>
  <c r="AV10" i="4" s="1"/>
  <c r="DI10" i="4"/>
  <c r="BY21" i="4"/>
  <c r="CF21" i="4" s="1"/>
  <c r="CU16" i="4"/>
  <c r="DJ16" i="4"/>
  <c r="BJ16" i="4"/>
  <c r="CR21" i="4"/>
  <c r="CY21" i="4" s="1"/>
  <c r="BK10" i="4"/>
  <c r="CQ16" i="4"/>
  <c r="CX16" i="4" s="1"/>
  <c r="CR16" i="4"/>
  <c r="CY16" i="4" s="1"/>
  <c r="AR11" i="4"/>
  <c r="CT11" i="4"/>
  <c r="BH16" i="4"/>
  <c r="BO16" i="4" s="1"/>
  <c r="DK11" i="4"/>
  <c r="CU21" i="4"/>
  <c r="X23" i="4"/>
  <c r="AE23" i="4" s="1"/>
  <c r="CB10" i="4"/>
  <c r="W10" i="4"/>
  <c r="AD10" i="4" s="1"/>
  <c r="AQ7" i="4"/>
  <c r="AA10" i="4"/>
  <c r="DK21" i="4"/>
  <c r="CB21" i="4"/>
  <c r="CB16" i="4"/>
  <c r="CB19" i="4"/>
  <c r="CE18" i="4"/>
  <c r="CH18" i="4" s="1"/>
  <c r="BI11" i="4"/>
  <c r="BZ21" i="4"/>
  <c r="CG21" i="4" s="1"/>
  <c r="BY16" i="4"/>
  <c r="CF16" i="4" s="1"/>
  <c r="BK11" i="4"/>
  <c r="AP8" i="4"/>
  <c r="AW8" i="4" s="1"/>
  <c r="BZ16" i="4"/>
  <c r="CG16" i="4" s="1"/>
  <c r="CQ10" i="4"/>
  <c r="CX10" i="4" s="1"/>
  <c r="CB11" i="4"/>
  <c r="DH11" i="4"/>
  <c r="DN11" i="4" s="1"/>
  <c r="BG11" i="4"/>
  <c r="BN11" i="4" s="1"/>
  <c r="DI11" i="4"/>
  <c r="CT8" i="4"/>
  <c r="CS8" i="4"/>
  <c r="Y19" i="4"/>
  <c r="Y10" i="4"/>
  <c r="BJ10" i="4"/>
  <c r="CC23" i="4"/>
  <c r="DI8" i="4"/>
  <c r="Z18" i="4"/>
  <c r="CC15" i="4"/>
  <c r="CE23" i="4"/>
  <c r="BI16" i="4"/>
  <c r="AR19" i="4"/>
  <c r="BM18" i="4"/>
  <c r="W19" i="4"/>
  <c r="AD19" i="4" s="1"/>
  <c r="AQ11" i="4"/>
  <c r="DI21" i="4"/>
  <c r="BH21" i="4"/>
  <c r="BO21" i="4" s="1"/>
  <c r="CA11" i="4"/>
  <c r="BG16" i="4"/>
  <c r="BN16" i="4" s="1"/>
  <c r="CU11" i="4"/>
  <c r="AP16" i="4"/>
  <c r="AW16" i="4" s="1"/>
  <c r="AO8" i="4"/>
  <c r="AV8" i="4" s="1"/>
  <c r="BJ11" i="4"/>
  <c r="AO11" i="4"/>
  <c r="AV11" i="4" s="1"/>
  <c r="AP10" i="4"/>
  <c r="AW10" i="4" s="1"/>
  <c r="BM7" i="4"/>
  <c r="BP7" i="4" s="1"/>
  <c r="BQ7" i="4" s="1"/>
  <c r="CQ21" i="4"/>
  <c r="CX21" i="4" s="1"/>
  <c r="BI8" i="4"/>
  <c r="BP8" i="4" s="1"/>
  <c r="CD22" i="4"/>
  <c r="CH22" i="4" s="1"/>
  <c r="CI22" i="4" s="1"/>
  <c r="AP17" i="4"/>
  <c r="AW17" i="4" s="1"/>
  <c r="CA8" i="4"/>
  <c r="AQ8" i="4"/>
  <c r="CE7" i="4"/>
  <c r="DM18" i="4"/>
  <c r="CS21" i="4"/>
  <c r="X21" i="4"/>
  <c r="AE21" i="4" s="1"/>
  <c r="BH11" i="4"/>
  <c r="BO11" i="4" s="1"/>
  <c r="W16" i="4"/>
  <c r="AD16" i="4" s="1"/>
  <c r="CC11" i="4"/>
  <c r="X8" i="4"/>
  <c r="AE8" i="4" s="1"/>
  <c r="X16" i="4"/>
  <c r="AE16" i="4" s="1"/>
  <c r="CS10" i="4"/>
  <c r="Z11" i="4"/>
  <c r="W11" i="4"/>
  <c r="AD11" i="4" s="1"/>
  <c r="DH10" i="4"/>
  <c r="DN10" i="4" s="1"/>
  <c r="AS8" i="4"/>
  <c r="CD5" i="4"/>
  <c r="CH5" i="4" s="1"/>
  <c r="CI5" i="4" s="1"/>
  <c r="AC7" i="4"/>
  <c r="AF7" i="4" s="1"/>
  <c r="AG7" i="4" s="1"/>
  <c r="AS21" i="4"/>
  <c r="Y8" i="4"/>
  <c r="AP21" i="4"/>
  <c r="AW21" i="4" s="1"/>
  <c r="CT10" i="4"/>
  <c r="AR8" i="4"/>
  <c r="CU28" i="4"/>
  <c r="DK28" i="4"/>
  <c r="AB24" i="4"/>
  <c r="AF24" i="4" s="1"/>
  <c r="AG24" i="4" s="1"/>
  <c r="AQ19" i="4"/>
  <c r="CV23" i="4"/>
  <c r="CA28" i="4"/>
  <c r="CR19" i="4"/>
  <c r="CY19" i="4" s="1"/>
  <c r="DJ19" i="4"/>
  <c r="BY19" i="4"/>
  <c r="CF19" i="4" s="1"/>
  <c r="BK17" i="4"/>
  <c r="BH6" i="4"/>
  <c r="BO6" i="4" s="1"/>
  <c r="W17" i="4"/>
  <c r="AD17" i="4" s="1"/>
  <c r="DI4" i="4"/>
  <c r="AR6" i="4"/>
  <c r="AA28" i="4"/>
  <c r="BK19" i="4"/>
  <c r="AU23" i="4"/>
  <c r="AX23" i="4" s="1"/>
  <c r="BL24" i="4"/>
  <c r="CB28" i="4"/>
  <c r="DL28" i="4"/>
  <c r="BZ28" i="4"/>
  <c r="CG28" i="4" s="1"/>
  <c r="CD28" i="4"/>
  <c r="X19" i="4"/>
  <c r="AE19" i="4" s="1"/>
  <c r="CA19" i="4"/>
  <c r="BI28" i="4"/>
  <c r="DK19" i="4"/>
  <c r="CT19" i="4"/>
  <c r="AC16" i="4"/>
  <c r="AO19" i="4"/>
  <c r="AV19" i="4" s="1"/>
  <c r="CE16" i="4"/>
  <c r="CB17" i="4"/>
  <c r="AO23" i="4"/>
  <c r="AV23" i="4" s="1"/>
  <c r="AO17" i="4"/>
  <c r="AV17" i="4" s="1"/>
  <c r="AS28" i="4"/>
  <c r="BK28" i="4"/>
  <c r="BZ19" i="4"/>
  <c r="CG19" i="4" s="1"/>
  <c r="CE28" i="4"/>
  <c r="CW14" i="4"/>
  <c r="AC14" i="4"/>
  <c r="BZ8" i="4"/>
  <c r="CG8" i="4" s="1"/>
  <c r="AP19" i="4"/>
  <c r="AW19" i="4" s="1"/>
  <c r="DK8" i="4"/>
  <c r="CC28" i="4"/>
  <c r="BH28" i="4"/>
  <c r="BO28" i="4" s="1"/>
  <c r="DJ28" i="4"/>
  <c r="AQ17" i="4"/>
  <c r="Y28" i="4"/>
  <c r="AT20" i="4"/>
  <c r="CU19" i="4"/>
  <c r="BJ19" i="4"/>
  <c r="BI19" i="4"/>
  <c r="BP19" i="4" s="1"/>
  <c r="CQ19" i="4"/>
  <c r="CX19" i="4" s="1"/>
  <c r="BY17" i="4"/>
  <c r="CF17" i="4" s="1"/>
  <c r="CE14" i="4"/>
  <c r="Z28" i="4"/>
  <c r="W28" i="4"/>
  <c r="AD28" i="4" s="1"/>
  <c r="BJ28" i="4"/>
  <c r="AO28" i="4"/>
  <c r="AV28" i="4" s="1"/>
  <c r="CR28" i="4"/>
  <c r="CY28" i="4" s="1"/>
  <c r="AT22" i="4"/>
  <c r="AX22" i="4" s="1"/>
  <c r="BI17" i="4"/>
  <c r="X17" i="4"/>
  <c r="AE17" i="4" s="1"/>
  <c r="CV20" i="4"/>
  <c r="CC19" i="4"/>
  <c r="DH17" i="4"/>
  <c r="DN17" i="4" s="1"/>
  <c r="Z19" i="4"/>
  <c r="DM14" i="4"/>
  <c r="AA17" i="4"/>
  <c r="AF17" i="4" s="1"/>
  <c r="CC17" i="4"/>
  <c r="CQ17" i="4"/>
  <c r="CX17" i="4" s="1"/>
  <c r="AU16" i="4"/>
  <c r="AP11" i="4"/>
  <c r="AW11" i="4" s="1"/>
  <c r="AR28" i="4"/>
  <c r="BM16" i="4"/>
  <c r="AS7" i="4"/>
  <c r="BH5" i="4"/>
  <c r="BO5" i="4" s="1"/>
  <c r="DH14" i="4"/>
  <c r="DN14" i="4" s="1"/>
  <c r="AQ6" i="4"/>
  <c r="X28" i="4"/>
  <c r="AE28" i="4" s="1"/>
  <c r="CV24" i="4"/>
  <c r="BY28" i="4"/>
  <c r="CF28" i="4" s="1"/>
  <c r="CD20" i="4"/>
  <c r="CA17" i="4"/>
  <c r="CR17" i="4"/>
  <c r="CY17" i="4" s="1"/>
  <c r="BM14" i="4"/>
  <c r="DL20" i="4"/>
  <c r="DO20" i="4" s="1"/>
  <c r="DP20" i="4" s="1"/>
  <c r="DI17" i="4"/>
  <c r="AS19" i="4"/>
  <c r="CU17" i="4"/>
  <c r="Y23" i="4"/>
  <c r="CD24" i="4"/>
  <c r="BL22" i="4"/>
  <c r="BP22" i="4" s="1"/>
  <c r="BQ22" i="4" s="1"/>
  <c r="DJ17" i="4"/>
  <c r="DI28" i="4"/>
  <c r="AB20" i="4"/>
  <c r="AF20" i="4" s="1"/>
  <c r="AG20" i="4" s="1"/>
  <c r="AA19" i="4"/>
  <c r="DK17" i="4"/>
  <c r="BZ4" i="4"/>
  <c r="CG4" i="4" s="1"/>
  <c r="CD6" i="4"/>
  <c r="BM12" i="4"/>
  <c r="BY23" i="4"/>
  <c r="CF23" i="4" s="1"/>
  <c r="AA6" i="4"/>
  <c r="DM12" i="4"/>
  <c r="BL6" i="4"/>
  <c r="DH19" i="4"/>
  <c r="DN19" i="4" s="1"/>
  <c r="CS19" i="4"/>
  <c r="DI12" i="4"/>
  <c r="CW23" i="4"/>
  <c r="DL21" i="4"/>
  <c r="BG23" i="4"/>
  <c r="BN23" i="4" s="1"/>
  <c r="AU12" i="4"/>
  <c r="AT21" i="4"/>
  <c r="AU13" i="4"/>
  <c r="AC12" i="4"/>
  <c r="CB6" i="4"/>
  <c r="CV15" i="4"/>
  <c r="DL15" i="4"/>
  <c r="CR11" i="4"/>
  <c r="CY11" i="4" s="1"/>
  <c r="CT17" i="4"/>
  <c r="BH17" i="4"/>
  <c r="BO17" i="4" s="1"/>
  <c r="CW12" i="4"/>
  <c r="AY27" i="4"/>
  <c r="AB23" i="4"/>
  <c r="CV21" i="4"/>
  <c r="AB15" i="4"/>
  <c r="CS11" i="4"/>
  <c r="CE24" i="4"/>
  <c r="BK16" i="4"/>
  <c r="BG19" i="4"/>
  <c r="AA12" i="4"/>
  <c r="AF12" i="4" s="1"/>
  <c r="CD21" i="4"/>
  <c r="CB4" i="4"/>
  <c r="AB5" i="4"/>
  <c r="AF5" i="4" s="1"/>
  <c r="DL23" i="4"/>
  <c r="DH4" i="4"/>
  <c r="DN4" i="4" s="1"/>
  <c r="CE12" i="4"/>
  <c r="CD7" i="4"/>
  <c r="CU12" i="4"/>
  <c r="CZ12" i="4" s="1"/>
  <c r="AT18" i="4"/>
  <c r="AX18" i="4" s="1"/>
  <c r="DA27" i="4"/>
  <c r="AG27" i="4"/>
  <c r="DM23" i="4"/>
  <c r="AT4" i="4"/>
  <c r="CV4" i="4"/>
  <c r="CV5" i="4"/>
  <c r="AS16" i="4"/>
  <c r="AR21" i="4"/>
  <c r="W21" i="4"/>
  <c r="AD21" i="4" s="1"/>
  <c r="BM24" i="4"/>
  <c r="DH18" i="4"/>
  <c r="DN18" i="4" s="1"/>
  <c r="AB18" i="4"/>
  <c r="CA4" i="4"/>
  <c r="AA21" i="4"/>
  <c r="DH21" i="4"/>
  <c r="DN21" i="4" s="1"/>
  <c r="DP29" i="4"/>
  <c r="CV18" i="4"/>
  <c r="CZ18" i="4" s="1"/>
  <c r="BL18" i="4"/>
  <c r="BP18" i="4" s="1"/>
  <c r="BL4" i="4"/>
  <c r="CU4" i="4"/>
  <c r="BZ6" i="4"/>
  <c r="CG6" i="4" s="1"/>
  <c r="CT6" i="4"/>
  <c r="CD16" i="4"/>
  <c r="BG4" i="4"/>
  <c r="BN4" i="4" s="1"/>
  <c r="CR6" i="4"/>
  <c r="CY6" i="4" s="1"/>
  <c r="AB21" i="4"/>
  <c r="DA22" i="4"/>
  <c r="DL18" i="4"/>
  <c r="DO18" i="4" s="1"/>
  <c r="DL16" i="4"/>
  <c r="AO18" i="4"/>
  <c r="AV18" i="4" s="1"/>
  <c r="AT16" i="4"/>
  <c r="DL5" i="4"/>
  <c r="DO5" i="4" s="1"/>
  <c r="Z21" i="4"/>
  <c r="AB16" i="4"/>
  <c r="BL5" i="4"/>
  <c r="BP5" i="4" s="1"/>
  <c r="BK21" i="4"/>
  <c r="BQ29" i="4"/>
  <c r="AS4" i="4"/>
  <c r="BK4" i="4"/>
  <c r="DJ4" i="4"/>
  <c r="DI6" i="4"/>
  <c r="CS6" i="4"/>
  <c r="AO6" i="4"/>
  <c r="AV6" i="4" s="1"/>
  <c r="Y6" i="4"/>
  <c r="CQ4" i="4"/>
  <c r="CX4" i="4" s="1"/>
  <c r="CU6" i="4"/>
  <c r="AY29" i="4"/>
  <c r="W23" i="4"/>
  <c r="AD23" i="4" s="1"/>
  <c r="CA6" i="4"/>
  <c r="CC4" i="4"/>
  <c r="Z6" i="4"/>
  <c r="BG6" i="4"/>
  <c r="BN6" i="4" s="1"/>
  <c r="BH4" i="4"/>
  <c r="BO4" i="4" s="1"/>
  <c r="AO4" i="4"/>
  <c r="AV4" i="4" s="1"/>
  <c r="AA4" i="4"/>
  <c r="CI29" i="4"/>
  <c r="BK6" i="4"/>
  <c r="BJ4" i="4"/>
  <c r="BJ6" i="4"/>
  <c r="BI4" i="4"/>
  <c r="CR4" i="4"/>
  <c r="CY4" i="4" s="1"/>
  <c r="W4" i="4"/>
  <c r="AD4" i="4" s="1"/>
  <c r="DL4" i="4"/>
  <c r="AQ4" i="4"/>
  <c r="CC6" i="4"/>
  <c r="AB6" i="4"/>
  <c r="AB4" i="4"/>
  <c r="DJ6" i="4"/>
  <c r="DK4" i="4"/>
  <c r="DH6" i="4"/>
  <c r="DN6" i="4" s="1"/>
  <c r="X6" i="4"/>
  <c r="AE6" i="4" s="1"/>
  <c r="AR4" i="4"/>
  <c r="BY6" i="4"/>
  <c r="CF6" i="4" s="1"/>
  <c r="Z4" i="4"/>
  <c r="DK6" i="4"/>
  <c r="CQ6" i="4"/>
  <c r="CX6" i="4" s="1"/>
  <c r="AC23" i="4"/>
  <c r="BM23" i="4"/>
  <c r="BL23" i="4"/>
  <c r="BP23" i="4" s="1"/>
  <c r="CQ23" i="4"/>
  <c r="CX23" i="4" s="1"/>
  <c r="CS4" i="4"/>
  <c r="AP6" i="4"/>
  <c r="AW6" i="4" s="1"/>
  <c r="X4" i="4"/>
  <c r="AE4" i="4" s="1"/>
  <c r="BI6" i="4"/>
  <c r="CT4" i="4"/>
  <c r="AS6" i="4"/>
  <c r="AP4" i="4"/>
  <c r="AW4" i="4" s="1"/>
  <c r="B23" i="19"/>
  <c r="B23" i="17"/>
  <c r="B16" i="19"/>
  <c r="B8" i="19"/>
  <c r="B15" i="17"/>
  <c r="B15" i="19"/>
  <c r="B20" i="17"/>
  <c r="B20" i="19"/>
  <c r="B10" i="17"/>
  <c r="B10" i="19"/>
  <c r="B21" i="19"/>
  <c r="AA6" i="3"/>
  <c r="Z6" i="3"/>
  <c r="X27" i="3"/>
  <c r="AE27" i="3" s="1"/>
  <c r="X6" i="3"/>
  <c r="AE6" i="3" s="1"/>
  <c r="AA27" i="3"/>
  <c r="AF27" i="3" s="1"/>
  <c r="Y6" i="3"/>
  <c r="S14" i="6" l="1"/>
  <c r="I12" i="18" s="1"/>
  <c r="L12" i="18" s="1"/>
  <c r="E14" i="19" s="1"/>
  <c r="E16" i="17"/>
  <c r="I14" i="18"/>
  <c r="L14" i="18" s="1"/>
  <c r="E16" i="19" s="1"/>
  <c r="E17" i="17"/>
  <c r="S29" i="6"/>
  <c r="S21" i="6"/>
  <c r="I19" i="18" s="1"/>
  <c r="L19" i="18" s="1"/>
  <c r="E21" i="19" s="1"/>
  <c r="S18" i="6"/>
  <c r="I22" i="18"/>
  <c r="L22" i="18" s="1"/>
  <c r="E24" i="19" s="1"/>
  <c r="S12" i="6"/>
  <c r="E22" i="17"/>
  <c r="E21" i="17"/>
  <c r="AG25" i="3"/>
  <c r="B25" i="19" s="1"/>
  <c r="AG13" i="3"/>
  <c r="B13" i="19" s="1"/>
  <c r="B12" i="19"/>
  <c r="B12" i="17"/>
  <c r="B19" i="17"/>
  <c r="B19" i="19"/>
  <c r="F22" i="19"/>
  <c r="F22" i="17"/>
  <c r="B5" i="17"/>
  <c r="B5" i="19"/>
  <c r="B29" i="17"/>
  <c r="B29" i="19"/>
  <c r="F18" i="19"/>
  <c r="F18" i="17"/>
  <c r="B11" i="19"/>
  <c r="B11" i="17"/>
  <c r="E26" i="17"/>
  <c r="I24" i="18"/>
  <c r="L24" i="18" s="1"/>
  <c r="E26" i="19" s="1"/>
  <c r="F5" i="19"/>
  <c r="F5" i="17"/>
  <c r="F14" i="19"/>
  <c r="F14" i="17"/>
  <c r="AM12" i="5"/>
  <c r="AS12" i="5" s="1"/>
  <c r="BB12" i="5"/>
  <c r="BH12" i="5" s="1"/>
  <c r="V12" i="5"/>
  <c r="AC12" i="5" s="1"/>
  <c r="AZ14" i="5"/>
  <c r="BF14" i="5" s="1"/>
  <c r="AK14" i="5"/>
  <c r="AQ14" i="5" s="1"/>
  <c r="T14" i="5"/>
  <c r="AA14" i="5" s="1"/>
  <c r="F8" i="17"/>
  <c r="F8" i="19"/>
  <c r="S27" i="6"/>
  <c r="AF21" i="4"/>
  <c r="CZ23" i="4"/>
  <c r="CH23" i="4"/>
  <c r="CI23" i="4" s="1"/>
  <c r="AF13" i="4"/>
  <c r="AG13" i="4" s="1"/>
  <c r="O24" i="7"/>
  <c r="O27" i="7"/>
  <c r="O7" i="7"/>
  <c r="S13" i="6"/>
  <c r="F28" i="17"/>
  <c r="F28" i="19"/>
  <c r="S20" i="6"/>
  <c r="E20" i="17" s="1"/>
  <c r="R6" i="6"/>
  <c r="S6" i="6" s="1"/>
  <c r="S28" i="6"/>
  <c r="O10" i="7"/>
  <c r="E4" i="17"/>
  <c r="I2" i="18"/>
  <c r="L2" i="18" s="1"/>
  <c r="E4" i="19" s="1"/>
  <c r="F17" i="19"/>
  <c r="F17" i="17"/>
  <c r="F26" i="19"/>
  <c r="F26" i="17"/>
  <c r="DG4" i="4"/>
  <c r="DM4" i="4" s="1"/>
  <c r="DO4" i="4" s="1"/>
  <c r="DP4" i="4" s="1"/>
  <c r="AN4" i="4"/>
  <c r="AU4" i="4" s="1"/>
  <c r="AX4" i="4" s="1"/>
  <c r="AY4" i="4" s="1"/>
  <c r="BF4" i="4"/>
  <c r="BM4" i="4" s="1"/>
  <c r="CP4" i="4"/>
  <c r="CW4" i="4" s="1"/>
  <c r="V4" i="4"/>
  <c r="AC4" i="4" s="1"/>
  <c r="AF4" i="4" s="1"/>
  <c r="AG4" i="4" s="1"/>
  <c r="BX4" i="4"/>
  <c r="CE4" i="4" s="1"/>
  <c r="AL14" i="4"/>
  <c r="AS14" i="4" s="1"/>
  <c r="AX14" i="4" s="1"/>
  <c r="AY14" i="4" s="1"/>
  <c r="BV14" i="4"/>
  <c r="CC14" i="4" s="1"/>
  <c r="CH14" i="4" s="1"/>
  <c r="CI14" i="4" s="1"/>
  <c r="F16" i="17"/>
  <c r="F16" i="19"/>
  <c r="BF26" i="4"/>
  <c r="BM26" i="4" s="1"/>
  <c r="BP26" i="4" s="1"/>
  <c r="BQ26" i="4" s="1"/>
  <c r="BX26" i="4"/>
  <c r="CE26" i="4" s="1"/>
  <c r="CH26" i="4" s="1"/>
  <c r="CI26" i="4" s="1"/>
  <c r="AN26" i="4"/>
  <c r="AU26" i="4" s="1"/>
  <c r="AX26" i="4" s="1"/>
  <c r="AY26" i="4" s="1"/>
  <c r="CP26" i="4"/>
  <c r="CW26" i="4" s="1"/>
  <c r="CZ26" i="4" s="1"/>
  <c r="DA26" i="4" s="1"/>
  <c r="DG26" i="4"/>
  <c r="DM26" i="4" s="1"/>
  <c r="DO26" i="4" s="1"/>
  <c r="V26" i="4"/>
  <c r="AC26" i="4" s="1"/>
  <c r="AF26" i="4" s="1"/>
  <c r="AG26" i="4" s="1"/>
  <c r="F15" i="17"/>
  <c r="F15" i="19"/>
  <c r="AF14" i="4"/>
  <c r="AG14" i="4" s="1"/>
  <c r="AF11" i="5"/>
  <c r="BJ15" i="5"/>
  <c r="AF15" i="5"/>
  <c r="O9" i="7"/>
  <c r="I9" i="18"/>
  <c r="L9" i="18" s="1"/>
  <c r="E11" i="19" s="1"/>
  <c r="O19" i="7"/>
  <c r="F6" i="19"/>
  <c r="F6" i="17"/>
  <c r="AM26" i="5"/>
  <c r="AS26" i="5" s="1"/>
  <c r="BB26" i="5"/>
  <c r="BH26" i="5" s="1"/>
  <c r="BJ26" i="5" s="1"/>
  <c r="BK26" i="5" s="1"/>
  <c r="V26" i="5"/>
  <c r="AC26" i="5" s="1"/>
  <c r="AF26" i="5" s="1"/>
  <c r="AG26" i="5" s="1"/>
  <c r="O13" i="7"/>
  <c r="B26" i="19"/>
  <c r="B26" i="17"/>
  <c r="BP6" i="4"/>
  <c r="DO12" i="4"/>
  <c r="DP12" i="4" s="1"/>
  <c r="CH16" i="4"/>
  <c r="AF11" i="4"/>
  <c r="AX15" i="4"/>
  <c r="BP20" i="4"/>
  <c r="BQ20" i="4" s="1"/>
  <c r="AF14" i="5"/>
  <c r="AG14" i="5" s="1"/>
  <c r="AX19" i="4"/>
  <c r="CH7" i="4"/>
  <c r="CI7" i="4" s="1"/>
  <c r="AX12" i="4"/>
  <c r="AY12" i="4" s="1"/>
  <c r="BJ11" i="5"/>
  <c r="AU26" i="5"/>
  <c r="AF6" i="4"/>
  <c r="AG6" i="4" s="1"/>
  <c r="AX20" i="4"/>
  <c r="AY20" i="4" s="1"/>
  <c r="BP24" i="4"/>
  <c r="BQ24" i="4" s="1"/>
  <c r="AF18" i="4"/>
  <c r="AU28" i="5"/>
  <c r="AV28" i="5" s="1"/>
  <c r="BP28" i="4"/>
  <c r="AU13" i="5"/>
  <c r="AV13" i="5" s="1"/>
  <c r="BJ12" i="5"/>
  <c r="BK12" i="5" s="1"/>
  <c r="BP21" i="4"/>
  <c r="CH4" i="4"/>
  <c r="B22" i="19"/>
  <c r="CH24" i="4"/>
  <c r="CI24" i="4" s="1"/>
  <c r="DO8" i="4"/>
  <c r="BP25" i="4"/>
  <c r="DO13" i="4"/>
  <c r="DP13" i="4" s="1"/>
  <c r="AX13" i="4"/>
  <c r="CZ14" i="4"/>
  <c r="DA14" i="4" s="1"/>
  <c r="CZ28" i="4"/>
  <c r="DA28" i="4" s="1"/>
  <c r="DO23" i="4"/>
  <c r="DP23" i="4" s="1"/>
  <c r="CH20" i="4"/>
  <c r="CI20" i="4" s="1"/>
  <c r="DO19" i="4"/>
  <c r="BP11" i="4"/>
  <c r="DO10" i="4"/>
  <c r="DO16" i="4"/>
  <c r="AE17" i="5"/>
  <c r="AG17" i="5" s="1"/>
  <c r="BL17" i="5" s="1"/>
  <c r="D17" i="17" s="1"/>
  <c r="CI18" i="4"/>
  <c r="AF16" i="4"/>
  <c r="AG16" i="4" s="1"/>
  <c r="AT7" i="5"/>
  <c r="AV7" i="5" s="1"/>
  <c r="BP4" i="4"/>
  <c r="CZ6" i="4"/>
  <c r="BN19" i="4"/>
  <c r="BQ19" i="4" s="1"/>
  <c r="CZ19" i="4"/>
  <c r="DA19" i="4" s="1"/>
  <c r="DO17" i="4"/>
  <c r="DP17" i="4" s="1"/>
  <c r="CH28" i="4"/>
  <c r="CI28" i="4" s="1"/>
  <c r="AF10" i="4"/>
  <c r="CH21" i="4"/>
  <c r="CI21" i="4" s="1"/>
  <c r="CZ25" i="4"/>
  <c r="DA25" i="4" s="1"/>
  <c r="CH13" i="4"/>
  <c r="BP15" i="4"/>
  <c r="CZ17" i="4"/>
  <c r="DA17" i="4" s="1"/>
  <c r="BJ7" i="5"/>
  <c r="BK7" i="5" s="1"/>
  <c r="AG18" i="4"/>
  <c r="AX28" i="4"/>
  <c r="AY28" i="4" s="1"/>
  <c r="AF25" i="4"/>
  <c r="AG25" i="4" s="1"/>
  <c r="CH15" i="4"/>
  <c r="CI15" i="4" s="1"/>
  <c r="DO14" i="4"/>
  <c r="BQ12" i="4"/>
  <c r="CZ21" i="4"/>
  <c r="DA21" i="4" s="1"/>
  <c r="BP16" i="4"/>
  <c r="AX10" i="4"/>
  <c r="AY10" i="4" s="1"/>
  <c r="CZ4" i="4"/>
  <c r="DA4" i="4" s="1"/>
  <c r="DO6" i="4"/>
  <c r="DP6" i="4" s="1"/>
  <c r="AX6" i="4"/>
  <c r="AY6" i="4" s="1"/>
  <c r="AF8" i="4"/>
  <c r="AG8" i="4" s="1"/>
  <c r="CZ10" i="4"/>
  <c r="DA10" i="4" s="1"/>
  <c r="CH11" i="4"/>
  <c r="AF19" i="4"/>
  <c r="BP10" i="4"/>
  <c r="BQ10" i="4" s="1"/>
  <c r="AF15" i="4"/>
  <c r="AG15" i="4" s="1"/>
  <c r="BP14" i="4"/>
  <c r="BJ14" i="5"/>
  <c r="BJ27" i="5"/>
  <c r="BK27" i="5" s="1"/>
  <c r="BL27" i="5" s="1"/>
  <c r="D27" i="19" s="1"/>
  <c r="AG18" i="5"/>
  <c r="BL18" i="5" s="1"/>
  <c r="D18" i="17" s="1"/>
  <c r="AF13" i="5"/>
  <c r="AU15" i="5"/>
  <c r="CZ24" i="4"/>
  <c r="DA24" i="4" s="1"/>
  <c r="CZ5" i="4"/>
  <c r="DA5" i="4" s="1"/>
  <c r="AF6" i="3"/>
  <c r="AG6" i="3" s="1"/>
  <c r="B6" i="17" s="1"/>
  <c r="BJ28" i="5"/>
  <c r="DO28" i="4"/>
  <c r="DP28" i="4" s="1"/>
  <c r="DP5" i="4"/>
  <c r="CZ11" i="4"/>
  <c r="AF28" i="4"/>
  <c r="AG28" i="4" s="1"/>
  <c r="AX8" i="4"/>
  <c r="AY8" i="4" s="1"/>
  <c r="DO21" i="4"/>
  <c r="DP21" i="4" s="1"/>
  <c r="AX16" i="4"/>
  <c r="CH10" i="4"/>
  <c r="CI10" i="4" s="1"/>
  <c r="AX25" i="4"/>
  <c r="AY25" i="4" s="1"/>
  <c r="BK10" i="5"/>
  <c r="AV4" i="5"/>
  <c r="AG5" i="4"/>
  <c r="AF23" i="4"/>
  <c r="AG23" i="4" s="1"/>
  <c r="CH17" i="4"/>
  <c r="CI17" i="4" s="1"/>
  <c r="BP17" i="4"/>
  <c r="AX17" i="4"/>
  <c r="CH19" i="4"/>
  <c r="CH8" i="4"/>
  <c r="AX11" i="4"/>
  <c r="AY11" i="4" s="1"/>
  <c r="DO11" i="4"/>
  <c r="DP11" i="4" s="1"/>
  <c r="AX21" i="4"/>
  <c r="AY21" i="4" s="1"/>
  <c r="DO15" i="4"/>
  <c r="DP15" i="4" s="1"/>
  <c r="AD11" i="5"/>
  <c r="AF7" i="5"/>
  <c r="CH12" i="4"/>
  <c r="CI12" i="4" s="1"/>
  <c r="AU29" i="5"/>
  <c r="AV29" i="5" s="1"/>
  <c r="BL29" i="5" s="1"/>
  <c r="D29" i="17" s="1"/>
  <c r="CZ8" i="4"/>
  <c r="DA8" i="4" s="1"/>
  <c r="AF12" i="5"/>
  <c r="AG12" i="5" s="1"/>
  <c r="AG27" i="3"/>
  <c r="B27" i="17" s="1"/>
  <c r="CH6" i="4"/>
  <c r="CI6" i="4" s="1"/>
  <c r="AY22" i="4"/>
  <c r="DP26" i="4"/>
  <c r="AX7" i="4"/>
  <c r="AY7" i="4" s="1"/>
  <c r="AG22" i="4"/>
  <c r="CZ16" i="4"/>
  <c r="DA16" i="4" s="1"/>
  <c r="CZ15" i="4"/>
  <c r="DA15" i="4" s="1"/>
  <c r="CZ20" i="4"/>
  <c r="DA20" i="4" s="1"/>
  <c r="AU14" i="5"/>
  <c r="AV14" i="5" s="1"/>
  <c r="AU12" i="5"/>
  <c r="AV12" i="5" s="1"/>
  <c r="AV26" i="5"/>
  <c r="I18" i="18"/>
  <c r="L18" i="18" s="1"/>
  <c r="E20" i="19" s="1"/>
  <c r="M15" i="6"/>
  <c r="S15" i="6" s="1"/>
  <c r="M7" i="6"/>
  <c r="S7" i="6" s="1"/>
  <c r="I5" i="18" s="1"/>
  <c r="L5" i="18" s="1"/>
  <c r="E7" i="19" s="1"/>
  <c r="M5" i="6"/>
  <c r="S5" i="6" s="1"/>
  <c r="E28" i="17"/>
  <c r="I26" i="18"/>
  <c r="L26" i="18" s="1"/>
  <c r="E28" i="19" s="1"/>
  <c r="L4" i="7"/>
  <c r="D30" i="7"/>
  <c r="N11" i="7"/>
  <c r="M11" i="7"/>
  <c r="O11" i="7" s="1"/>
  <c r="I8" i="18"/>
  <c r="L8" i="18" s="1"/>
  <c r="E10" i="19" s="1"/>
  <c r="E10" i="17"/>
  <c r="DP18" i="4"/>
  <c r="DA23" i="4"/>
  <c r="AG28" i="5"/>
  <c r="BQ17" i="4"/>
  <c r="AY16" i="4"/>
  <c r="BQ13" i="4"/>
  <c r="BL8" i="5"/>
  <c r="D8" i="19" s="1"/>
  <c r="BL20" i="5"/>
  <c r="D20" i="19" s="1"/>
  <c r="BQ5" i="4"/>
  <c r="BK11" i="5"/>
  <c r="B18" i="19"/>
  <c r="BK13" i="5"/>
  <c r="AG25" i="5"/>
  <c r="BL25" i="5" s="1"/>
  <c r="D25" i="19" s="1"/>
  <c r="BL19" i="5"/>
  <c r="D19" i="19" s="1"/>
  <c r="BL9" i="5"/>
  <c r="BL6" i="5"/>
  <c r="D6" i="19" s="1"/>
  <c r="BL24" i="5"/>
  <c r="D24" i="17" s="1"/>
  <c r="BL10" i="5"/>
  <c r="D10" i="17" s="1"/>
  <c r="BL23" i="5"/>
  <c r="DP8" i="4"/>
  <c r="BQ9" i="4"/>
  <c r="CI8" i="4"/>
  <c r="AY23" i="4"/>
  <c r="AG9" i="4"/>
  <c r="BK15" i="5"/>
  <c r="AG4" i="5"/>
  <c r="DQ22" i="4"/>
  <c r="C22" i="19" s="1"/>
  <c r="CI25" i="4"/>
  <c r="CI9" i="4"/>
  <c r="DQ29" i="4"/>
  <c r="C29" i="19" s="1"/>
  <c r="BQ28" i="4"/>
  <c r="DA7" i="4"/>
  <c r="AG7" i="5"/>
  <c r="AV15" i="5"/>
  <c r="AG21" i="5"/>
  <c r="BL21" i="5" s="1"/>
  <c r="D21" i="19" s="1"/>
  <c r="BQ21" i="4"/>
  <c r="CI13" i="4"/>
  <c r="BK28" i="5"/>
  <c r="AG15" i="5"/>
  <c r="BL5" i="5"/>
  <c r="D5" i="19" s="1"/>
  <c r="DQ27" i="4"/>
  <c r="AG17" i="4"/>
  <c r="DP16" i="4"/>
  <c r="AG22" i="5"/>
  <c r="BL22" i="5" s="1"/>
  <c r="D22" i="19" s="1"/>
  <c r="AG16" i="5"/>
  <c r="BL16" i="5" s="1"/>
  <c r="D16" i="19" s="1"/>
  <c r="BK14" i="5"/>
  <c r="DA13" i="4"/>
  <c r="DA18" i="4"/>
  <c r="CI19" i="4"/>
  <c r="CI16" i="4"/>
  <c r="BQ15" i="4"/>
  <c r="BQ18" i="4"/>
  <c r="BQ16" i="4"/>
  <c r="BQ14" i="4"/>
  <c r="BQ11" i="4"/>
  <c r="BQ25" i="4"/>
  <c r="AY15" i="4"/>
  <c r="AY18" i="4"/>
  <c r="AY13" i="4"/>
  <c r="AY17" i="4"/>
  <c r="AG11" i="4"/>
  <c r="DP14" i="4"/>
  <c r="DA12" i="4"/>
  <c r="DP10" i="4"/>
  <c r="BQ8" i="4"/>
  <c r="DA11" i="4"/>
  <c r="CI11" i="4"/>
  <c r="AG12" i="4"/>
  <c r="AY19" i="4"/>
  <c r="DP19" i="4"/>
  <c r="AG21" i="4"/>
  <c r="BQ23" i="4"/>
  <c r="CI4" i="4"/>
  <c r="DA6" i="4"/>
  <c r="BQ6" i="4"/>
  <c r="BQ4" i="4"/>
  <c r="B16" i="17"/>
  <c r="B17" i="17"/>
  <c r="B17" i="19"/>
  <c r="B4" i="19"/>
  <c r="B4" i="17"/>
  <c r="B14" i="19"/>
  <c r="B14" i="17"/>
  <c r="B9" i="17"/>
  <c r="B9" i="19"/>
  <c r="B28" i="19"/>
  <c r="B28" i="17"/>
  <c r="B7" i="17"/>
  <c r="B7" i="19"/>
  <c r="B24" i="17"/>
  <c r="B24" i="19"/>
  <c r="B13" i="17"/>
  <c r="E14" i="17" l="1"/>
  <c r="B32" i="17"/>
  <c r="B33" i="17"/>
  <c r="B31" i="17"/>
  <c r="E18" i="17"/>
  <c r="I16" i="18"/>
  <c r="L16" i="18" s="1"/>
  <c r="E18" i="19" s="1"/>
  <c r="E29" i="17"/>
  <c r="I27" i="18"/>
  <c r="L27" i="18" s="1"/>
  <c r="E29" i="19" s="1"/>
  <c r="B25" i="17"/>
  <c r="BL4" i="5"/>
  <c r="D4" i="17" s="1"/>
  <c r="E7" i="17"/>
  <c r="I4" i="18"/>
  <c r="L4" i="18" s="1"/>
  <c r="E6" i="19" s="1"/>
  <c r="E6" i="17"/>
  <c r="F11" i="17"/>
  <c r="F11" i="19"/>
  <c r="F19" i="17"/>
  <c r="F19" i="19"/>
  <c r="I11" i="18"/>
  <c r="L11" i="18" s="1"/>
  <c r="E13" i="19" s="1"/>
  <c r="E13" i="17"/>
  <c r="E27" i="17"/>
  <c r="I25" i="18"/>
  <c r="L25" i="18" s="1"/>
  <c r="E27" i="19" s="1"/>
  <c r="F7" i="17"/>
  <c r="F7" i="19"/>
  <c r="BL26" i="5"/>
  <c r="D26" i="17" s="1"/>
  <c r="DQ20" i="4"/>
  <c r="F13" i="19"/>
  <c r="F13" i="17"/>
  <c r="F9" i="19"/>
  <c r="F9" i="17"/>
  <c r="F10" i="19"/>
  <c r="F10" i="17"/>
  <c r="F27" i="17"/>
  <c r="F27" i="19"/>
  <c r="AG11" i="5"/>
  <c r="BL11" i="5" s="1"/>
  <c r="F24" i="17"/>
  <c r="F24" i="19"/>
  <c r="DQ24" i="4"/>
  <c r="B27" i="19"/>
  <c r="B31" i="19" s="1"/>
  <c r="DQ26" i="4"/>
  <c r="DQ7" i="4"/>
  <c r="C7" i="17" s="1"/>
  <c r="BL12" i="5"/>
  <c r="DQ5" i="4"/>
  <c r="C5" i="17" s="1"/>
  <c r="E15" i="17"/>
  <c r="I13" i="18"/>
  <c r="L13" i="18" s="1"/>
  <c r="E15" i="19" s="1"/>
  <c r="I10" i="18"/>
  <c r="L10" i="18" s="1"/>
  <c r="E12" i="19" s="1"/>
  <c r="E12" i="17"/>
  <c r="E5" i="17"/>
  <c r="I3" i="18"/>
  <c r="L3" i="18" s="1"/>
  <c r="E5" i="19" s="1"/>
  <c r="E33" i="19" s="1"/>
  <c r="L30" i="7"/>
  <c r="N4" i="7"/>
  <c r="M4" i="7"/>
  <c r="O4" i="7" s="1"/>
  <c r="D26" i="19"/>
  <c r="D24" i="19"/>
  <c r="G22" i="19"/>
  <c r="D18" i="19"/>
  <c r="D6" i="17"/>
  <c r="B6" i="19"/>
  <c r="D27" i="17"/>
  <c r="BL28" i="5"/>
  <c r="D28" i="19" s="1"/>
  <c r="D20" i="17"/>
  <c r="DQ9" i="4"/>
  <c r="C9" i="19" s="1"/>
  <c r="DQ18" i="4"/>
  <c r="C18" i="17" s="1"/>
  <c r="G18" i="17" s="1"/>
  <c r="D8" i="17"/>
  <c r="D19" i="17"/>
  <c r="D22" i="17"/>
  <c r="DQ14" i="4"/>
  <c r="C14" i="17" s="1"/>
  <c r="DQ28" i="4"/>
  <c r="C28" i="17" s="1"/>
  <c r="D10" i="19"/>
  <c r="DQ21" i="4"/>
  <c r="C21" i="17" s="1"/>
  <c r="D5" i="17"/>
  <c r="D17" i="19"/>
  <c r="BL14" i="5"/>
  <c r="D14" i="19" s="1"/>
  <c r="DQ6" i="4"/>
  <c r="C6" i="19" s="1"/>
  <c r="DQ4" i="4"/>
  <c r="C4" i="19" s="1"/>
  <c r="DQ13" i="4"/>
  <c r="C13" i="17" s="1"/>
  <c r="DQ12" i="4"/>
  <c r="C12" i="19" s="1"/>
  <c r="D29" i="19"/>
  <c r="G29" i="19" s="1"/>
  <c r="DQ25" i="4"/>
  <c r="C25" i="17" s="1"/>
  <c r="D16" i="17"/>
  <c r="BL15" i="5"/>
  <c r="DQ23" i="4"/>
  <c r="C23" i="17" s="1"/>
  <c r="DQ8" i="4"/>
  <c r="C8" i="19" s="1"/>
  <c r="G8" i="19" s="1"/>
  <c r="AG13" i="5"/>
  <c r="BL13" i="5" s="1"/>
  <c r="D13" i="19" s="1"/>
  <c r="DQ17" i="4"/>
  <c r="C17" i="17" s="1"/>
  <c r="G17" i="17" s="1"/>
  <c r="D21" i="17"/>
  <c r="DQ15" i="4"/>
  <c r="C15" i="17" s="1"/>
  <c r="DQ11" i="4"/>
  <c r="C11" i="19" s="1"/>
  <c r="BL7" i="5"/>
  <c r="DQ16" i="4"/>
  <c r="C16" i="17" s="1"/>
  <c r="D23" i="17"/>
  <c r="D23" i="19"/>
  <c r="D9" i="19"/>
  <c r="D9" i="17"/>
  <c r="D25" i="17"/>
  <c r="D12" i="19"/>
  <c r="D12" i="17"/>
  <c r="AG10" i="4"/>
  <c r="DQ10" i="4" s="1"/>
  <c r="C10" i="19" s="1"/>
  <c r="AG19" i="4"/>
  <c r="DQ19" i="4" s="1"/>
  <c r="C22" i="17"/>
  <c r="C29" i="17"/>
  <c r="G29" i="17" s="1"/>
  <c r="C24" i="17"/>
  <c r="G24" i="17" s="1"/>
  <c r="C24" i="19"/>
  <c r="C20" i="17"/>
  <c r="C20" i="19"/>
  <c r="G20" i="19" s="1"/>
  <c r="C27" i="19"/>
  <c r="C27" i="17"/>
  <c r="C26" i="19"/>
  <c r="G26" i="19" s="1"/>
  <c r="C26" i="17"/>
  <c r="G26" i="17" s="1"/>
  <c r="B30" i="17"/>
  <c r="E33" i="17" l="1"/>
  <c r="C32" i="17"/>
  <c r="C33" i="17"/>
  <c r="C31" i="17"/>
  <c r="C7" i="19"/>
  <c r="B30" i="19"/>
  <c r="B32" i="19"/>
  <c r="B33" i="19"/>
  <c r="E32" i="19"/>
  <c r="G27" i="19"/>
  <c r="E31" i="17"/>
  <c r="E31" i="19"/>
  <c r="E30" i="17"/>
  <c r="E32" i="17"/>
  <c r="D4" i="19"/>
  <c r="D11" i="19"/>
  <c r="D11" i="17"/>
  <c r="F4" i="19"/>
  <c r="F30" i="19" s="1"/>
  <c r="F4" i="17"/>
  <c r="F30" i="17" s="1"/>
  <c r="G5" i="17"/>
  <c r="C5" i="19"/>
  <c r="G5" i="19" s="1"/>
  <c r="E30" i="19"/>
  <c r="G24" i="19"/>
  <c r="M30" i="7"/>
  <c r="O30" i="7" s="1"/>
  <c r="N30" i="7"/>
  <c r="G10" i="19"/>
  <c r="G20" i="17"/>
  <c r="D14" i="17"/>
  <c r="G14" i="17" s="1"/>
  <c r="G16" i="17"/>
  <c r="G27" i="17"/>
  <c r="G23" i="17"/>
  <c r="G11" i="19"/>
  <c r="G22" i="17"/>
  <c r="G21" i="17"/>
  <c r="G9" i="19"/>
  <c r="D28" i="17"/>
  <c r="G28" i="17" s="1"/>
  <c r="C9" i="17"/>
  <c r="G9" i="17" s="1"/>
  <c r="C25" i="19"/>
  <c r="G25" i="19" s="1"/>
  <c r="C21" i="19"/>
  <c r="G21" i="19" s="1"/>
  <c r="C14" i="19"/>
  <c r="G14" i="19" s="1"/>
  <c r="C12" i="17"/>
  <c r="G12" i="17" s="1"/>
  <c r="C13" i="19"/>
  <c r="G13" i="19" s="1"/>
  <c r="C8" i="17"/>
  <c r="G8" i="17" s="1"/>
  <c r="C18" i="19"/>
  <c r="G18" i="19" s="1"/>
  <c r="G6" i="19"/>
  <c r="C23" i="19"/>
  <c r="G23" i="19" s="1"/>
  <c r="C15" i="19"/>
  <c r="C11" i="17"/>
  <c r="G11" i="17" s="1"/>
  <c r="D13" i="17"/>
  <c r="G13" i="17" s="1"/>
  <c r="D7" i="17"/>
  <c r="D7" i="19"/>
  <c r="D15" i="19"/>
  <c r="D15" i="17"/>
  <c r="G15" i="17" s="1"/>
  <c r="C17" i="19"/>
  <c r="G17" i="19" s="1"/>
  <c r="G12" i="19"/>
  <c r="G25" i="17"/>
  <c r="C28" i="19"/>
  <c r="G28" i="19" s="1"/>
  <c r="C16" i="19"/>
  <c r="G16" i="19" s="1"/>
  <c r="C10" i="17"/>
  <c r="G10" i="17" s="1"/>
  <c r="C19" i="17"/>
  <c r="G19" i="17" s="1"/>
  <c r="C19" i="19"/>
  <c r="G19" i="19" s="1"/>
  <c r="C6" i="17"/>
  <c r="G6" i="17" s="1"/>
  <c r="G4" i="19"/>
  <c r="C4" i="17"/>
  <c r="G7" i="17" l="1"/>
  <c r="D32" i="17"/>
  <c r="D33" i="17"/>
  <c r="D31" i="17"/>
  <c r="C33" i="19"/>
  <c r="C31" i="19"/>
  <c r="C32" i="19"/>
  <c r="G7" i="19"/>
  <c r="D32" i="19"/>
  <c r="D33" i="19"/>
  <c r="D31" i="19"/>
  <c r="D30" i="17"/>
  <c r="D30" i="19"/>
  <c r="G15" i="19"/>
  <c r="C30" i="19"/>
  <c r="C30" i="17"/>
  <c r="G4" i="17"/>
  <c r="G32" i="19" l="1"/>
  <c r="G30" i="19"/>
  <c r="G30" i="17"/>
  <c r="G31" i="17"/>
  <c r="G33" i="17"/>
  <c r="G32" i="17"/>
  <c r="G31" i="19"/>
  <c r="G33" i="19"/>
</calcChain>
</file>

<file path=xl/sharedStrings.xml><?xml version="1.0" encoding="utf-8"?>
<sst xmlns="http://schemas.openxmlformats.org/spreadsheetml/2006/main" count="1126" uniqueCount="349">
  <si>
    <t>Households</t>
  </si>
  <si>
    <t>Non - Households</t>
  </si>
  <si>
    <t>Denmark</t>
  </si>
  <si>
    <t>Sweden</t>
  </si>
  <si>
    <t>Finland</t>
  </si>
  <si>
    <t>Estonia</t>
  </si>
  <si>
    <t>Latvia</t>
  </si>
  <si>
    <t>Lithuania</t>
  </si>
  <si>
    <t>Greece</t>
  </si>
  <si>
    <t>Italy</t>
  </si>
  <si>
    <t>Spain</t>
  </si>
  <si>
    <t>Portugal</t>
  </si>
  <si>
    <t>Croatia</t>
  </si>
  <si>
    <t>Romania</t>
  </si>
  <si>
    <t>Bulgaria</t>
  </si>
  <si>
    <t>Poland</t>
  </si>
  <si>
    <t>Slovakia</t>
  </si>
  <si>
    <t>Slovenia</t>
  </si>
  <si>
    <t>Czech Republic</t>
  </si>
  <si>
    <t>Germany</t>
  </si>
  <si>
    <t>Austria</t>
  </si>
  <si>
    <t>France</t>
  </si>
  <si>
    <t>Hungary</t>
  </si>
  <si>
    <t>Netherlands</t>
  </si>
  <si>
    <t>Belgium</t>
  </si>
  <si>
    <t>United Kingdom</t>
  </si>
  <si>
    <t>Luxenbourg</t>
  </si>
  <si>
    <t>Ireland</t>
  </si>
  <si>
    <t>Average</t>
  </si>
  <si>
    <t>MS</t>
  </si>
  <si>
    <t>Hours per week</t>
  </si>
  <si>
    <t>Healthcare</t>
  </si>
  <si>
    <t>Education</t>
  </si>
  <si>
    <t>Emergency</t>
  </si>
  <si>
    <t>Security</t>
  </si>
  <si>
    <t>Essential Social Care</t>
  </si>
  <si>
    <t>Public Administration</t>
  </si>
  <si>
    <t>Essential Social care</t>
  </si>
  <si>
    <t>Commercial</t>
  </si>
  <si>
    <t>Retail stores</t>
  </si>
  <si>
    <t>Private offices</t>
  </si>
  <si>
    <t>Luxembourg</t>
  </si>
  <si>
    <t>Hours per day</t>
  </si>
  <si>
    <t>Days per week</t>
  </si>
  <si>
    <t>min</t>
  </si>
  <si>
    <t>max</t>
  </si>
  <si>
    <t>Power Sector</t>
  </si>
  <si>
    <t>STUDY ON THE ESTIMATION OF THE COST OF DISRUPTION OF GAS SUPPLY IN EUROPE</t>
  </si>
  <si>
    <t>Cooking</t>
  </si>
  <si>
    <t>A/C (€/MW)</t>
  </si>
  <si>
    <t>Other electric appliances (€/MW)</t>
  </si>
  <si>
    <t>Electric Water heater (€/MW)</t>
  </si>
  <si>
    <t>Heat pumps (€/MW)</t>
  </si>
  <si>
    <t>Oil Burner (€/MW)</t>
  </si>
  <si>
    <t>Burner (Pellet, wood,…) (€/MW)</t>
  </si>
  <si>
    <r>
      <t>Stove (</t>
    </r>
    <r>
      <rPr>
        <b/>
        <sz val="14"/>
        <color theme="1"/>
        <rFont val="Calibri"/>
        <family val="2"/>
        <charset val="161"/>
      </rPr>
      <t>€</t>
    </r>
    <r>
      <rPr>
        <b/>
        <sz val="14"/>
        <color theme="1"/>
        <rFont val="Calibri"/>
        <family val="2"/>
        <charset val="161"/>
        <scheme val="minor"/>
      </rPr>
      <t>/MW)</t>
    </r>
  </si>
  <si>
    <t>Appliance Price</t>
  </si>
  <si>
    <t>Water Heating</t>
  </si>
  <si>
    <t>Space Heating</t>
  </si>
  <si>
    <t>Energy Prices</t>
  </si>
  <si>
    <t>ΔOPEX Prices</t>
  </si>
  <si>
    <t>CAPEX Prices</t>
  </si>
  <si>
    <t>CAPEX/H
Stove
(€/MWh)</t>
  </si>
  <si>
    <t>CAPEX/H
Electric water heater
(€/MWh)</t>
  </si>
  <si>
    <t>CAPEX/H
A/C
(€/MWh)</t>
  </si>
  <si>
    <t>CAPEX/H
Other electric appliances
(€/MWh)</t>
  </si>
  <si>
    <t>CAPEX/H
Heat pumps
(€/MWh)</t>
  </si>
  <si>
    <t>CAPEX/H
Oil burner
(€/MWh)</t>
  </si>
  <si>
    <t>CAPEX/H
Pellet/Wood burner
(€/MWh)</t>
  </si>
  <si>
    <t>Δ (electricity price - gas price)
(€/kWh)</t>
  </si>
  <si>
    <t>Δ (heating oil price - gas price)
(€/kWh)</t>
  </si>
  <si>
    <t>Δ (pellet/wood price - gas price)
(€/kWh)</t>
  </si>
  <si>
    <t>UCM
Stove
(€/MWh)</t>
  </si>
  <si>
    <t>UCM
Electric water heater
(€/MWh)</t>
  </si>
  <si>
    <t>UCM
A/C
(€/MWh)</t>
  </si>
  <si>
    <t>UCM
Other elecric appliances
(€/MWh)</t>
  </si>
  <si>
    <t>UCM
heat pumps
(€/MWh)</t>
  </si>
  <si>
    <t xml:space="preserve">UCM
Oil burner
(€/MWh) </t>
  </si>
  <si>
    <t>UCM
Pellet/Wood burner
(€/MWh)</t>
  </si>
  <si>
    <t>UCM at Appliance Level</t>
  </si>
  <si>
    <r>
      <t>Natural Gas price (</t>
    </r>
    <r>
      <rPr>
        <b/>
        <sz val="14"/>
        <color theme="0"/>
        <rFont val="Calibri"/>
        <family val="2"/>
        <charset val="161"/>
      </rPr>
      <t>€/kWh</t>
    </r>
    <r>
      <rPr>
        <b/>
        <sz val="14"/>
        <color theme="0"/>
        <rFont val="Calibri"/>
        <family val="2"/>
        <charset val="161"/>
        <scheme val="minor"/>
      </rPr>
      <t>)</t>
    </r>
  </si>
  <si>
    <t>Electricity price (€/kWh)</t>
  </si>
  <si>
    <t>Heating Oil price (€/kWh)</t>
  </si>
  <si>
    <t>Fuel oil (€/kWh)</t>
  </si>
  <si>
    <t>Pellet/ Wood price (€/kWh)</t>
  </si>
  <si>
    <t>Δ (electricity price - gas price) (€/kWh)</t>
  </si>
  <si>
    <t>Δ (heating oil price - gas price) (€/kWh)</t>
  </si>
  <si>
    <t>Δ (fuel oil price - gas price) (€/kWh)</t>
  </si>
  <si>
    <t>Δ (pellet/wood price - gas price) (€/kWh)</t>
  </si>
  <si>
    <t>CAPEX Prices - Healthcare</t>
  </si>
  <si>
    <t>Electric boiler
(€/ΜW)</t>
  </si>
  <si>
    <t>Gas price
(€/kWh)</t>
  </si>
  <si>
    <t>Fuel Oil
(€/kWh)</t>
  </si>
  <si>
    <t>CAPEX/H
Oil fired boiler
(€/MWh)</t>
  </si>
  <si>
    <t>CAPEX/H
electric boiler
(€/MWh)</t>
  </si>
  <si>
    <t>UCM
Oil fired boiler
(€/MWh)</t>
  </si>
  <si>
    <t>UCM
electric boiler
(€/MWh)</t>
  </si>
  <si>
    <t>Industrial Average (Fuel)
(€/MWh)</t>
  </si>
  <si>
    <t>Stove
(€/MW)</t>
  </si>
  <si>
    <t>Other electric appliances
(€/MW)</t>
  </si>
  <si>
    <t>Electric Water heater
(€/MW)</t>
  </si>
  <si>
    <t>Heat pumps
(€/MW)</t>
  </si>
  <si>
    <t>Oil Burner
(€/MW)</t>
  </si>
  <si>
    <t>Burner (Pellet, wood,…)
(€/MW)</t>
  </si>
  <si>
    <t>Natural gas
(€/kWh)</t>
  </si>
  <si>
    <t>Electricity
(€/kWh)</t>
  </si>
  <si>
    <t>Heating oil
(€/kWh)</t>
  </si>
  <si>
    <t>Pellet
(€/kWh)</t>
  </si>
  <si>
    <t>UCM at End-use Level</t>
  </si>
  <si>
    <t>UCM for cooking
(€/MWh)</t>
  </si>
  <si>
    <t>UCM for water heating
(€/MWh)</t>
  </si>
  <si>
    <t>UCM for space heating
(€/MWh)</t>
  </si>
  <si>
    <t>weighting factor for cooking
(%)</t>
  </si>
  <si>
    <t>weighting factor for water heating
(%)</t>
  </si>
  <si>
    <t>weighting factor space heating
(%)</t>
  </si>
  <si>
    <t>Total UCM
(€/MWh)</t>
  </si>
  <si>
    <t>UCM
Oil burner
(€/MWh)</t>
  </si>
  <si>
    <t>weighting factor for space heating
(%)</t>
  </si>
  <si>
    <t>CAPEX/H
Heat pumps 
(€/MWh)</t>
  </si>
  <si>
    <t>UCM for space heating (€/MWh)</t>
  </si>
  <si>
    <t>weighting factor for cooking (€/MWh)</t>
  </si>
  <si>
    <t>weighting factor for water heating (€/MWh)</t>
  </si>
  <si>
    <t>weighting factor for space heating (€/MWh)</t>
  </si>
  <si>
    <t xml:space="preserve">CAPEX/H
Heat pumps
(€/MWh) </t>
  </si>
  <si>
    <t>UCM for water heating
(%)</t>
  </si>
  <si>
    <t>UCM for space heating
(%)</t>
  </si>
  <si>
    <t>UCM
Oil burner 
(€/MWh)</t>
  </si>
  <si>
    <t>CAPEX/H
Oil burner 
(€/MWh)</t>
  </si>
  <si>
    <t>UCM Electric water heater
(€/MWh)</t>
  </si>
  <si>
    <t>Total UCM 
(€/MWh)</t>
  </si>
  <si>
    <t xml:space="preserve">weighting factor for space heating
(%) </t>
  </si>
  <si>
    <t xml:space="preserve">weighting factor for water heating
(%) </t>
  </si>
  <si>
    <t xml:space="preserve">UCM for space heating
(€/MWh) </t>
  </si>
  <si>
    <t xml:space="preserve">UCM for water heating
(€/MWh) </t>
  </si>
  <si>
    <t xml:space="preserve">UCM
Pellet/Wood burner
(€/MWh) </t>
  </si>
  <si>
    <t xml:space="preserve">UCM
heat pumps
(€/MWh) </t>
  </si>
  <si>
    <t xml:space="preserve">UCM
Other elecric appliances
(€/MWh) </t>
  </si>
  <si>
    <t xml:space="preserve">UCM
A/C
(€/MWh) </t>
  </si>
  <si>
    <t xml:space="preserve">CAPEX/H
Pellet/Wood burner
(€/MWh) </t>
  </si>
  <si>
    <t xml:space="preserve">CAPEX/H
Other electric appliances
(€/MWh) </t>
  </si>
  <si>
    <t xml:space="preserve">CAPEX/H
A/C
(€/MWh) </t>
  </si>
  <si>
    <t xml:space="preserve">CAPEX/H
Electric water heater
(€/MWh) </t>
  </si>
  <si>
    <t xml:space="preserve">Total UCM
(€/MWh) </t>
  </si>
  <si>
    <t xml:space="preserve">UCM
Electric water heater
(€/MWh) </t>
  </si>
  <si>
    <t xml:space="preserve">CAPEX/H
Oil burner
(€/MWh) </t>
  </si>
  <si>
    <t xml:space="preserve">CAPEX/H
Electric water heater
(€/MWh)  </t>
  </si>
  <si>
    <t xml:space="preserve">CAPEX/H
A/C
(€/MWh)  </t>
  </si>
  <si>
    <t xml:space="preserve">CAPEX/H
Other electric appliances
(€/MWh)  </t>
  </si>
  <si>
    <t xml:space="preserve">CAPEX/H
Heat pumps
(€/MWh)  </t>
  </si>
  <si>
    <t xml:space="preserve">CAPEX/H
Pellet/Wood burner
(€/MWh)  </t>
  </si>
  <si>
    <t xml:space="preserve">UCM
A/C
(€/MWh)  </t>
  </si>
  <si>
    <t xml:space="preserve">UCM
Other elecric appliances
(€/MWh)  </t>
  </si>
  <si>
    <t xml:space="preserve">UCM
heat pumps
(€/MWh)  </t>
  </si>
  <si>
    <t xml:space="preserve">UCM
Pellet/Wood burner
(€/MWh)  </t>
  </si>
  <si>
    <t xml:space="preserve">UCM for water heating
(€/MWh)  </t>
  </si>
  <si>
    <t xml:space="preserve">UCM for space heating
(€/MWh)  </t>
  </si>
  <si>
    <t xml:space="preserve">weighting factor for water heating
(%)  </t>
  </si>
  <si>
    <t xml:space="preserve">weighting factor for space heating
(%)  </t>
  </si>
  <si>
    <t>CAPEX Prices - Commercial</t>
  </si>
  <si>
    <t>UCM at Appliance Level - Commercial</t>
  </si>
  <si>
    <t>UCM at End-use Level - Commercial</t>
  </si>
  <si>
    <t>Weighting Factors - Commercial</t>
  </si>
  <si>
    <t>CAPEX Prices - Retail Stores</t>
  </si>
  <si>
    <t>UCM at Appliance Level - Retail Stores</t>
  </si>
  <si>
    <t>UCM at End-use Level - Retail Stores</t>
  </si>
  <si>
    <t>Weighting Factors - Retail Stores</t>
  </si>
  <si>
    <t>CAPEX Prices - Private Offices</t>
  </si>
  <si>
    <t>UCM at Appliance Level - Private Offices</t>
  </si>
  <si>
    <t>UCM at End-use Level - Private Offices</t>
  </si>
  <si>
    <t>Weighting Factors - Private Offices</t>
  </si>
  <si>
    <t>UCM at Appliance Level - Healthcare</t>
  </si>
  <si>
    <t>UCM at End-use Level - Healthcare</t>
  </si>
  <si>
    <t>Weighting Factors - Healthcare</t>
  </si>
  <si>
    <t>CAPEX Prices - Education</t>
  </si>
  <si>
    <t>UCM at Appliance Level - Education</t>
  </si>
  <si>
    <t>UCM at End-use Level - Education</t>
  </si>
  <si>
    <t>Weighting Factors - Education</t>
  </si>
  <si>
    <t>CAPEX Prices - Emergency</t>
  </si>
  <si>
    <t>UCM at Appliance Level - Emergency</t>
  </si>
  <si>
    <t>UCM at End-use Level - Emergency</t>
  </si>
  <si>
    <t>Weighting Factors - Emergency</t>
  </si>
  <si>
    <t>CAPEX Prices - Security</t>
  </si>
  <si>
    <t>UCM at Appliance Level - Security</t>
  </si>
  <si>
    <t>UCM at End-use Level - Security</t>
  </si>
  <si>
    <t>Weighting Factors - Security</t>
  </si>
  <si>
    <t>CAPEX Prices - Essential Social Care</t>
  </si>
  <si>
    <t>UCM at Appliance Level - Essential Social Care</t>
  </si>
  <si>
    <t>UCM at End-use Level - Essential Social Care</t>
  </si>
  <si>
    <t>Weighting Factors - Essential Social Care</t>
  </si>
  <si>
    <t>CAPEX Prices - Public Administration</t>
  </si>
  <si>
    <t>UCM at Appliance Level -Public Administration</t>
  </si>
  <si>
    <t>UCM at End-use Level - Public Administration</t>
  </si>
  <si>
    <t>Weighting Factors - Public Administration</t>
  </si>
  <si>
    <t>Total UCM at Services Protected Sector
(€/MWh)</t>
  </si>
  <si>
    <t>Services Protected Sector</t>
  </si>
  <si>
    <t>Private Offices</t>
  </si>
  <si>
    <t>Services Non-Protected Sector</t>
  </si>
  <si>
    <t>Total UCM at Services Non-Protected Sector
(€/MWh)</t>
  </si>
  <si>
    <t>Residential Sector</t>
  </si>
  <si>
    <t>Industrial Sector</t>
  </si>
  <si>
    <t>Total UCM at Sector Level</t>
  </si>
  <si>
    <t>Total UCM at Member State Level</t>
  </si>
  <si>
    <t xml:space="preserve">Residential Sector </t>
  </si>
  <si>
    <t xml:space="preserve">Industrial Sector </t>
  </si>
  <si>
    <t xml:space="preserve">Power Sector </t>
  </si>
  <si>
    <t xml:space="preserve">Services Sector </t>
  </si>
  <si>
    <t>Total UCM</t>
  </si>
  <si>
    <t>Δ (fuel oil price - gas price)
(€/kWh)</t>
  </si>
  <si>
    <t>€/litre/month</t>
  </si>
  <si>
    <t>OPEX
(€/MWh)</t>
  </si>
  <si>
    <t>UCM new dual fuel burner
(€/MWh)</t>
  </si>
  <si>
    <t>UCM for the modification of existing gas burner to dual fuel
(€/MWh)</t>
  </si>
  <si>
    <t>Total UCM at Industrial Sector</t>
  </si>
  <si>
    <r>
      <t>Oil fired boiler
(</t>
    </r>
    <r>
      <rPr>
        <b/>
        <sz val="14"/>
        <color theme="1"/>
        <rFont val="Calibri"/>
        <family val="2"/>
      </rPr>
      <t>€/ΜW</t>
    </r>
    <r>
      <rPr>
        <b/>
        <sz val="14"/>
        <color theme="1"/>
        <rFont val="Calibri"/>
        <family val="2"/>
        <scheme val="minor"/>
      </rPr>
      <t>)</t>
    </r>
  </si>
  <si>
    <t>Continuous Operation</t>
  </si>
  <si>
    <t>Intermittent Operation</t>
  </si>
  <si>
    <t>UCM values</t>
  </si>
  <si>
    <t>UCM at Power Sector</t>
  </si>
  <si>
    <t>-</t>
  </si>
  <si>
    <t>GVA (Part of natural gas in chemical -petrochemical industry)
(€)</t>
  </si>
  <si>
    <t>Natural gas non-energy use in chemical - petrochemical industry
(ktoe)</t>
  </si>
  <si>
    <t>Naturar gas energy consumption in chemical - petrochemical industry
(ktoe)</t>
  </si>
  <si>
    <t>Total fuel energy consumption in chemical - petrochemical industry
(ktoe)</t>
  </si>
  <si>
    <t>Total non-energy use in chemical - petrochemical industry
(ktoe)</t>
  </si>
  <si>
    <t>UCM (Fuel)
(€/MWh)</t>
  </si>
  <si>
    <t>Weighting factor for Fuel
(%)</t>
  </si>
  <si>
    <t>Weighting factor for Feedstock
(%)</t>
  </si>
  <si>
    <t>UCM at Industry Sector
(€/MWh)</t>
  </si>
  <si>
    <t>Fuel Prices excl. VAT</t>
  </si>
  <si>
    <t>UCM Residential</t>
  </si>
  <si>
    <t>Tab colours</t>
  </si>
  <si>
    <t>Sheets</t>
  </si>
  <si>
    <t>Description</t>
  </si>
  <si>
    <t xml:space="preserve"> Appliance Prices</t>
  </si>
  <si>
    <t>Utilisation by Sector</t>
  </si>
  <si>
    <t>UCM Services Protected</t>
  </si>
  <si>
    <t xml:space="preserve">The list below provides further details on each Sheet.  </t>
  </si>
  <si>
    <r>
      <t xml:space="preserve">There are two </t>
    </r>
    <r>
      <rPr>
        <b/>
        <sz val="14"/>
        <color rgb="FF92D050"/>
        <rFont val="Calibri"/>
        <family val="2"/>
        <charset val="161"/>
        <scheme val="minor"/>
      </rPr>
      <t>Green Tabs</t>
    </r>
    <r>
      <rPr>
        <sz val="11"/>
        <rFont val="Calibri"/>
        <family val="2"/>
        <charset val="161"/>
        <scheme val="minor"/>
      </rPr>
      <t xml:space="preserve"> which relate to the sheets sumarising fuel UCM values by Sector and MS and total UCM values (i.e. both fuel and feedstok) by Sector and MS</t>
    </r>
  </si>
  <si>
    <t xml:space="preserve">UCM Services Non-Protected </t>
  </si>
  <si>
    <t>UCM Power</t>
  </si>
  <si>
    <t>fuel UCM Industrial</t>
  </si>
  <si>
    <t>feedstock UCM Industrial</t>
  </si>
  <si>
    <t>fuel UCM Sectors and MS</t>
  </si>
  <si>
    <t>Total UCM Sectors and MS</t>
  </si>
  <si>
    <t>Power  Sector</t>
  </si>
  <si>
    <t>Weeks per year</t>
  </si>
  <si>
    <t>Years of lifetime</t>
  </si>
  <si>
    <t>Lifetime hours</t>
  </si>
  <si>
    <t>Industrial  Sector</t>
  </si>
  <si>
    <t>Appliances</t>
  </si>
  <si>
    <t>Stove</t>
  </si>
  <si>
    <t>Electric Water heater</t>
  </si>
  <si>
    <t>A/C</t>
  </si>
  <si>
    <t>Other electric appliances</t>
  </si>
  <si>
    <t>Heat pumps</t>
  </si>
  <si>
    <t>Oil Burner</t>
  </si>
  <si>
    <t>Burner (Pellet, wood,…)</t>
  </si>
  <si>
    <t>modification of existing gas burner to dual fuel</t>
  </si>
  <si>
    <t>new dual fuel burner</t>
  </si>
  <si>
    <t>Oil fired boiler</t>
  </si>
  <si>
    <t>Electric boiler</t>
  </si>
  <si>
    <t>Hours per week
(Continuous Operation)</t>
  </si>
  <si>
    <t>Hours per week
(Intermittent Operation)</t>
  </si>
  <si>
    <t>Lifetime hours
(Continuous)</t>
  </si>
  <si>
    <t>Lifetime hours
(Intermittent)</t>
  </si>
  <si>
    <t>CAPEX
modification of existing gas burner to dual fuel
(€/MW)</t>
  </si>
  <si>
    <t>CAPEX
new dual fuel burner
(€/MW)</t>
  </si>
  <si>
    <t>GVA Industry (€)</t>
  </si>
  <si>
    <t>UCM (Feedstock)
(€/MWh)</t>
  </si>
  <si>
    <t>Electric Water heater (%)</t>
  </si>
  <si>
    <t>A/C (%)</t>
  </si>
  <si>
    <t>Other electric appliances (%)</t>
  </si>
  <si>
    <t>Heat pumps (%)</t>
  </si>
  <si>
    <t>Oil Burner (%)</t>
  </si>
  <si>
    <t>Burner (Pellet, wood,…) (%)</t>
  </si>
  <si>
    <t>Weighting Factors - Residential Sector</t>
  </si>
  <si>
    <t>Weighting Factors - Services Protected Sector</t>
  </si>
  <si>
    <t xml:space="preserve">Stove (%) </t>
  </si>
  <si>
    <t xml:space="preserve">Electric Water heater (%) </t>
  </si>
  <si>
    <t xml:space="preserve">A/C (%) </t>
  </si>
  <si>
    <t xml:space="preserve">Other electric appliances (%) </t>
  </si>
  <si>
    <t xml:space="preserve">Heat pumps (%) </t>
  </si>
  <si>
    <t xml:space="preserve">Oil Burner (%) </t>
  </si>
  <si>
    <t xml:space="preserve">Burner (Pellet, wood,…) (%) </t>
  </si>
  <si>
    <t xml:space="preserve">Stove (%)  </t>
  </si>
  <si>
    <t xml:space="preserve">Electric Water heater (%)  </t>
  </si>
  <si>
    <t xml:space="preserve">A/C (%)  </t>
  </si>
  <si>
    <t xml:space="preserve">Other electric appliances (%)  </t>
  </si>
  <si>
    <t xml:space="preserve">Heat pumps (%)  </t>
  </si>
  <si>
    <t xml:space="preserve">Oil Burner (%)  </t>
  </si>
  <si>
    <t xml:space="preserve">Burner (Pellet, wood,…) (%)  </t>
  </si>
  <si>
    <t xml:space="preserve">Stove (%)   </t>
  </si>
  <si>
    <t xml:space="preserve">Electric Water heater (%)   </t>
  </si>
  <si>
    <t xml:space="preserve">A/C (%)   </t>
  </si>
  <si>
    <t xml:space="preserve">Other electric appliances (%)   </t>
  </si>
  <si>
    <t xml:space="preserve">Heat pumps (%)   </t>
  </si>
  <si>
    <t xml:space="preserve">Oil Burner (%)   </t>
  </si>
  <si>
    <t xml:space="preserve">Burner (Pellet, wood,…) (%)   </t>
  </si>
  <si>
    <t>Weighting Factors - Services Non-Protected Sector
(Commercial)</t>
  </si>
  <si>
    <t>Weighting Factors - Services Non-Protected Sector
(Retail Stores &amp; Private Offices)</t>
  </si>
  <si>
    <t>Weighting Factors - Industrial Sector</t>
  </si>
  <si>
    <t>Oil fired boiler
(%)</t>
  </si>
  <si>
    <t>Electric boiler
(%)</t>
  </si>
  <si>
    <t>Retail Stores</t>
  </si>
  <si>
    <t>Stove (€/MW)</t>
  </si>
  <si>
    <t>A/C
(€/MW)</t>
  </si>
  <si>
    <r>
      <t>Stove (</t>
    </r>
    <r>
      <rPr>
        <b/>
        <sz val="14"/>
        <color theme="0"/>
        <rFont val="Calibri"/>
        <family val="2"/>
      </rPr>
      <t>%</t>
    </r>
    <r>
      <rPr>
        <b/>
        <sz val="14"/>
        <color theme="0"/>
        <rFont val="Calibri"/>
        <family val="2"/>
        <scheme val="minor"/>
      </rPr>
      <t>)</t>
    </r>
  </si>
  <si>
    <t xml:space="preserve">CAPEX/H
Oil fired boiler
(€/MWh) </t>
  </si>
  <si>
    <t xml:space="preserve">CAPEX/H
electric boiler
(€/MWh) </t>
  </si>
  <si>
    <t xml:space="preserve">UCM
Oil fired boiler
(€/MWh) </t>
  </si>
  <si>
    <t xml:space="preserve">UCM
electric boiler
(€/MWh) </t>
  </si>
  <si>
    <t>W.F. at Appliance Level</t>
  </si>
  <si>
    <t>W.F. End-use Level</t>
  </si>
  <si>
    <t>W.F. at Subsector Level</t>
  </si>
  <si>
    <t>W.F. at Sector Level</t>
  </si>
  <si>
    <t>Total UCM at Residential Sector
(€/MWh)</t>
  </si>
  <si>
    <r>
      <t>Total UCM at Power Sector
(</t>
    </r>
    <r>
      <rPr>
        <b/>
        <sz val="14"/>
        <color theme="0"/>
        <rFont val="Calibri"/>
        <family val="2"/>
        <charset val="161"/>
      </rPr>
      <t>€</t>
    </r>
    <r>
      <rPr>
        <b/>
        <sz val="10.5"/>
        <color theme="0"/>
        <rFont val="Calibri"/>
        <family val="2"/>
        <charset val="161"/>
      </rPr>
      <t>/MWh)</t>
    </r>
  </si>
  <si>
    <t>http://appsso.eurostat.ec.europa.eu/nui/show.do?dataset=nrg_pc_202&amp;lang=en</t>
  </si>
  <si>
    <t>Sources:</t>
  </si>
  <si>
    <t>http://appsso.eurostat.ec.europa.eu/nui/show.do?dataset=nrg_pc_203&amp;lang=en</t>
  </si>
  <si>
    <t>http://appsso.eurostat.ec.europa.eu/nui/show.do?dataset=nrg_pc_204&amp;lang=en</t>
  </si>
  <si>
    <t xml:space="preserve">http://appsso.eurostat.ec.europa.eu/nui/show.do?dataset=nrg_pc_205&amp;lang=en </t>
  </si>
  <si>
    <t>https://ec.europa.eu/energy/en/data-analysis/weekly-oil-bulletin</t>
  </si>
  <si>
    <t>Appendix 3 of the Study on the estimation of the Cost of Disruption of Gas Supply in Europe</t>
  </si>
  <si>
    <t>https://ec.europa.eu/eurostat/web/energy/data/energy-balances</t>
  </si>
  <si>
    <t>(Energy-Balances-June2017editionFinal)</t>
  </si>
  <si>
    <t>http://appsso.eurostat.ec.europa.eu/nui/show.do?dataset=nama_10_a64&amp;lang=en</t>
  </si>
  <si>
    <t>https://ec.europa.eu/eurostat/statistics-explained/index.php?title=Energy_consumption_in_households#Energy_consumption_in_households_by_type_of_end-use</t>
  </si>
  <si>
    <t>https://ec.europa.eu/eurostat/statistics-explained/images/1/16/Energy_consumption_households_final.xlsx</t>
  </si>
  <si>
    <t>This file provides the input data and calculations for the Unit Cost Measurement (UCM) in all EU-26 (excluding Cyprus and Malta that have currently no access to gas).  According to the proposed methodology, different UCM values are calculated by sector (residential, services protected, services non-protected, power and industry).  For the industrial sector in particular we also report separete UCM values for gas as fuel and gas as feedstock.  Total UCM values at MS level are also reported.</t>
  </si>
  <si>
    <r>
      <rPr>
        <b/>
        <sz val="14"/>
        <color rgb="FF0070C0"/>
        <rFont val="Calibri"/>
        <family val="2"/>
        <charset val="161"/>
        <scheme val="minor"/>
      </rPr>
      <t>Blue Tabs</t>
    </r>
    <r>
      <rPr>
        <sz val="11"/>
        <color theme="1"/>
        <rFont val="Calibri"/>
        <family val="2"/>
        <scheme val="minor"/>
      </rPr>
      <t xml:space="preserve">  relate to </t>
    </r>
    <r>
      <rPr>
        <i/>
        <sz val="11"/>
        <color theme="1"/>
        <rFont val="Calibri"/>
        <family val="2"/>
        <charset val="161"/>
        <scheme val="minor"/>
      </rPr>
      <t>Sheets</t>
    </r>
    <r>
      <rPr>
        <sz val="11"/>
        <color theme="1"/>
        <rFont val="Calibri"/>
        <family val="2"/>
        <scheme val="minor"/>
      </rPr>
      <t xml:space="preserve"> that contain input data for the calculation of fuel UCMs </t>
    </r>
  </si>
  <si>
    <r>
      <rPr>
        <b/>
        <sz val="14"/>
        <color rgb="FFFFC000"/>
        <rFont val="Calibri"/>
        <family val="2"/>
        <charset val="161"/>
        <scheme val="minor"/>
      </rPr>
      <t>Yellow Tabs</t>
    </r>
    <r>
      <rPr>
        <sz val="11"/>
        <color theme="1"/>
        <rFont val="Calibri"/>
        <family val="2"/>
        <scheme val="minor"/>
      </rPr>
      <t xml:space="preserve"> relate to </t>
    </r>
    <r>
      <rPr>
        <i/>
        <sz val="11"/>
        <color theme="1"/>
        <rFont val="Calibri"/>
        <family val="2"/>
        <charset val="161"/>
        <scheme val="minor"/>
      </rPr>
      <t>Sheets</t>
    </r>
    <r>
      <rPr>
        <sz val="11"/>
        <color theme="1"/>
        <rFont val="Calibri"/>
        <family val="2"/>
        <scheme val="minor"/>
      </rPr>
      <t xml:space="preserve"> that report fuel UCM values at sector level.  </t>
    </r>
  </si>
  <si>
    <r>
      <t>The</t>
    </r>
    <r>
      <rPr>
        <b/>
        <sz val="14"/>
        <color rgb="FFFF6600"/>
        <rFont val="Calibri"/>
        <family val="2"/>
        <charset val="161"/>
        <scheme val="minor"/>
      </rPr>
      <t xml:space="preserve"> Orange Tab </t>
    </r>
    <r>
      <rPr>
        <sz val="11"/>
        <color theme="1"/>
        <rFont val="Calibri"/>
        <family val="2"/>
        <scheme val="minor"/>
      </rPr>
      <t>relates to the</t>
    </r>
    <r>
      <rPr>
        <i/>
        <sz val="11"/>
        <color theme="1"/>
        <rFont val="Calibri"/>
        <family val="2"/>
        <charset val="161"/>
        <scheme val="minor"/>
      </rPr>
      <t xml:space="preserve"> Sheet</t>
    </r>
    <r>
      <rPr>
        <sz val="11"/>
        <color theme="1"/>
        <rFont val="Calibri"/>
        <family val="2"/>
        <scheme val="minor"/>
      </rPr>
      <t xml:space="preserve"> containing input data for the feedstock UCM and the feedstock UCM estimates.  Total UCM values for the industrial sector are also calculated in this sheet using weighting factors between fuel and feedstock gas consumption</t>
    </r>
  </si>
  <si>
    <t>Appendix 5  Assumptions on the utilization and lifetime of Representative Alternative Appliances</t>
  </si>
  <si>
    <t>Source:</t>
  </si>
  <si>
    <t xml:space="preserve">Where more than one representative appliance by end-use is considered, then the weighting factor is set as equal to the ratio of unity to the number of representative appliances  in the end-use (e.g. for space heating the weighting factor is 1/5). </t>
  </si>
  <si>
    <t>Users may modify the weighting values to any possible combination.</t>
  </si>
  <si>
    <t xml:space="preserve"> The weighting factor is equal to unity divided by the number of subsectors in the sector (i.e. for services protected the weighting factor is 1/6, for services non protected the respective value is 1/3).</t>
  </si>
  <si>
    <t>Weigthing Factors - Services Protected Sector</t>
  </si>
  <si>
    <t>Weighting factors - Services Protected Sector</t>
  </si>
  <si>
    <t>Weighting factors - Services Non - Protected Sector</t>
  </si>
  <si>
    <t>Weighting factors - Fuel UCM Sectors</t>
  </si>
  <si>
    <t>Weighting factors - Total UCM Sectors</t>
  </si>
  <si>
    <t>CAPEX/H
new dual fuel burner 
(€/MWh)</t>
  </si>
  <si>
    <t>CAPEX/H
modification of existing gas burner to dual fuel
(€/MWh)</t>
  </si>
  <si>
    <t>OPEX for maintaining the LFO facilities
(€/MWh)</t>
  </si>
  <si>
    <t>Max</t>
  </si>
  <si>
    <t>Median</t>
  </si>
  <si>
    <t>Min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</si>
</sst>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000\ _€_-;\-* #,##0.000\ _€_-;_-* &quot;-&quot;??\ _€_-;_-@_-"/>
    <numFmt numFmtId="165" formatCode="#,##0.000"/>
    <numFmt numFmtId="166" formatCode="0.000"/>
    <numFmt numFmtId="167" formatCode="#,##0.0000"/>
  </numFmts>
  <fonts count="4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1"/>
      <color theme="0"/>
      <name val="Calibri"/>
      <family val="2"/>
      <charset val="161"/>
      <scheme val="minor"/>
    </font>
    <font>
      <b/>
      <sz val="11"/>
      <color theme="1"/>
      <name val="Calibri"/>
      <family val="2"/>
      <charset val="161"/>
      <scheme val="minor"/>
    </font>
    <font>
      <b/>
      <sz val="14"/>
      <color theme="1"/>
      <name val="Calibri"/>
      <family val="2"/>
      <charset val="161"/>
      <scheme val="minor"/>
    </font>
    <font>
      <b/>
      <sz val="14"/>
      <color theme="1"/>
      <name val="Calibri"/>
      <family val="2"/>
      <charset val="161"/>
    </font>
    <font>
      <sz val="12"/>
      <color theme="1"/>
      <name val="Calibri"/>
      <family val="2"/>
      <scheme val="minor"/>
    </font>
    <font>
      <b/>
      <sz val="12"/>
      <color theme="0"/>
      <name val="Calibri"/>
      <family val="2"/>
      <scheme val="minor"/>
    </font>
    <font>
      <b/>
      <sz val="14"/>
      <color theme="0"/>
      <name val="Calibri"/>
      <family val="2"/>
      <charset val="161"/>
      <scheme val="minor"/>
    </font>
    <font>
      <b/>
      <sz val="14"/>
      <color theme="0"/>
      <name val="Calibri"/>
      <family val="2"/>
      <charset val="161"/>
    </font>
    <font>
      <b/>
      <sz val="11"/>
      <color theme="0"/>
      <name val="Calibri"/>
      <family val="2"/>
      <scheme val="minor"/>
    </font>
    <font>
      <b/>
      <sz val="12"/>
      <color theme="0"/>
      <name val="Calibri"/>
      <family val="2"/>
      <charset val="161"/>
      <scheme val="minor"/>
    </font>
    <font>
      <sz val="11"/>
      <color theme="0"/>
      <name val="Calibri"/>
      <family val="2"/>
      <scheme val="minor"/>
    </font>
    <font>
      <b/>
      <sz val="14"/>
      <color theme="0"/>
      <name val="Calibri"/>
      <family val="2"/>
      <scheme val="minor"/>
    </font>
    <font>
      <b/>
      <sz val="14"/>
      <color theme="0"/>
      <name val="Calibri"/>
      <family val="2"/>
    </font>
    <font>
      <sz val="12"/>
      <name val="Arial"/>
      <family val="2"/>
      <charset val="161"/>
    </font>
    <font>
      <sz val="11"/>
      <name val="Arial"/>
      <family val="2"/>
      <charset val="161"/>
    </font>
    <font>
      <sz val="14"/>
      <color theme="1"/>
      <name val="Calibri"/>
      <family val="2"/>
      <scheme val="minor"/>
    </font>
    <font>
      <sz val="14"/>
      <color theme="1"/>
      <name val="Calibri"/>
      <family val="2"/>
      <charset val="161"/>
      <scheme val="minor"/>
    </font>
    <font>
      <b/>
      <sz val="14"/>
      <color theme="1"/>
      <name val="Calibri"/>
      <family val="2"/>
      <scheme val="minor"/>
    </font>
    <font>
      <b/>
      <sz val="14"/>
      <color theme="1"/>
      <name val="Calibri"/>
      <family val="2"/>
    </font>
    <font>
      <sz val="14"/>
      <color theme="0"/>
      <name val="Calibri"/>
      <family val="2"/>
      <charset val="161"/>
      <scheme val="minor"/>
    </font>
    <font>
      <b/>
      <sz val="16"/>
      <color theme="1"/>
      <name val="Calibri"/>
      <family val="2"/>
      <charset val="161"/>
      <scheme val="minor"/>
    </font>
    <font>
      <sz val="11"/>
      <name val="Calibri"/>
      <family val="2"/>
      <charset val="161"/>
      <scheme val="minor"/>
    </font>
    <font>
      <u/>
      <sz val="11"/>
      <color theme="10"/>
      <name val="Calibri"/>
      <family val="2"/>
      <scheme val="minor"/>
    </font>
    <font>
      <sz val="11"/>
      <color rgb="FFFF0000"/>
      <name val="Calibri"/>
      <family val="2"/>
      <scheme val="minor"/>
    </font>
    <font>
      <b/>
      <sz val="14"/>
      <color rgb="FFFFC000"/>
      <name val="Calibri"/>
      <family val="2"/>
      <charset val="161"/>
      <scheme val="minor"/>
    </font>
    <font>
      <b/>
      <sz val="14"/>
      <color rgb="FF0070C0"/>
      <name val="Calibri"/>
      <family val="2"/>
      <charset val="161"/>
      <scheme val="minor"/>
    </font>
    <font>
      <b/>
      <sz val="14"/>
      <color rgb="FFFF6600"/>
      <name val="Calibri"/>
      <family val="2"/>
      <charset val="161"/>
      <scheme val="minor"/>
    </font>
    <font>
      <i/>
      <sz val="11"/>
      <color theme="1"/>
      <name val="Calibri"/>
      <family val="2"/>
      <charset val="161"/>
      <scheme val="minor"/>
    </font>
    <font>
      <b/>
      <sz val="14"/>
      <color rgb="FF92D050"/>
      <name val="Calibri"/>
      <family val="2"/>
      <charset val="161"/>
      <scheme val="minor"/>
    </font>
    <font>
      <sz val="14"/>
      <name val="Calibri"/>
      <family val="2"/>
      <charset val="161"/>
      <scheme val="minor"/>
    </font>
    <font>
      <sz val="14"/>
      <color rgb="FF000000"/>
      <name val="Calibri"/>
      <family val="2"/>
      <charset val="161"/>
      <scheme val="minor"/>
    </font>
    <font>
      <b/>
      <sz val="14"/>
      <name val="Calibri"/>
      <family val="2"/>
      <charset val="161"/>
      <scheme val="minor"/>
    </font>
    <font>
      <sz val="14"/>
      <name val="Calibri"/>
      <family val="2"/>
      <scheme val="minor"/>
    </font>
    <font>
      <b/>
      <sz val="12"/>
      <name val="Arial"/>
      <family val="2"/>
      <charset val="161"/>
    </font>
    <font>
      <b/>
      <sz val="10.5"/>
      <color theme="0"/>
      <name val="Calibri"/>
      <family val="2"/>
      <charset val="161"/>
    </font>
    <font>
      <b/>
      <i/>
      <sz val="11"/>
      <name val="Calibri"/>
      <family val="2"/>
      <charset val="161"/>
      <scheme val="minor"/>
    </font>
    <font>
      <b/>
      <i/>
      <sz val="11"/>
      <color theme="1"/>
      <name val="Calibri"/>
      <family val="2"/>
      <charset val="161"/>
      <scheme val="minor"/>
    </font>
    <font>
      <b/>
      <i/>
      <sz val="14"/>
      <color theme="1"/>
      <name val="Calibri"/>
      <family val="2"/>
      <charset val="161"/>
      <scheme val="minor"/>
    </font>
    <font>
      <sz val="14"/>
      <color theme="0"/>
      <name val="Calibri"/>
      <family val="2"/>
      <scheme val="minor"/>
    </font>
    <font>
      <b/>
      <sz val="14"/>
      <name val="Calibri"/>
      <family val="2"/>
      <scheme val="minor"/>
    </font>
    <font>
      <b/>
      <i/>
      <sz val="14"/>
      <color theme="1"/>
      <name val="Calibri"/>
      <family val="2"/>
      <scheme val="minor"/>
    </font>
    <font>
      <u/>
      <sz val="14"/>
      <color theme="10"/>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FF6600"/>
        <bgColor indexed="64"/>
      </patternFill>
    </fill>
    <fill>
      <patternFill patternType="solid">
        <fgColor theme="0"/>
        <bgColor indexed="64"/>
      </patternFill>
    </fill>
    <fill>
      <patternFill patternType="solid">
        <fgColor theme="1"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rgb="FF000000"/>
      </bottom>
      <diagonal/>
    </border>
    <border>
      <left/>
      <right style="thin">
        <color indexed="64"/>
      </right>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18" fillId="0" borderId="0"/>
    <xf numFmtId="9" fontId="18" fillId="0" borderId="0" applyFont="0" applyFill="0" applyBorder="0" applyAlignment="0" applyProtection="0"/>
    <xf numFmtId="0" fontId="26" fillId="0" borderId="0" applyNumberFormat="0" applyFill="0" applyBorder="0" applyAlignment="0" applyProtection="0"/>
  </cellStyleXfs>
  <cellXfs count="295">
    <xf numFmtId="0" fontId="0" fillId="0" borderId="0" xfId="0"/>
    <xf numFmtId="0" fontId="0" fillId="0" borderId="0" xfId="0" applyBorder="1"/>
    <xf numFmtId="0" fontId="5" fillId="0" borderId="0" xfId="0" applyFont="1" applyBorder="1"/>
    <xf numFmtId="0" fontId="5" fillId="0" borderId="0" xfId="0" applyFont="1"/>
    <xf numFmtId="0" fontId="5" fillId="0" borderId="0" xfId="0" applyFont="1" applyBorder="1" applyAlignment="1">
      <alignment horizontal="center"/>
    </xf>
    <xf numFmtId="0" fontId="0" fillId="0" borderId="5" xfId="0" applyBorder="1"/>
    <xf numFmtId="0" fontId="5" fillId="0" borderId="10" xfId="0" applyFont="1" applyBorder="1"/>
    <xf numFmtId="0" fontId="5" fillId="0" borderId="11" xfId="0" applyFont="1" applyBorder="1"/>
    <xf numFmtId="0" fontId="0" fillId="0" borderId="0" xfId="0" applyAlignment="1">
      <alignment vertical="top" wrapText="1"/>
    </xf>
    <xf numFmtId="0" fontId="0" fillId="0" borderId="0" xfId="0" applyAlignment="1">
      <alignment vertical="top"/>
    </xf>
    <xf numFmtId="0" fontId="0" fillId="0" borderId="0" xfId="0" applyBorder="1" applyAlignment="1">
      <alignment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10" fillId="4"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2" borderId="12" xfId="0" applyFont="1" applyFill="1" applyBorder="1" applyAlignment="1">
      <alignment wrapText="1"/>
    </xf>
    <xf numFmtId="0" fontId="10" fillId="2" borderId="12" xfId="0" applyFont="1" applyFill="1" applyBorder="1" applyAlignment="1">
      <alignment horizontal="center" vertical="center" wrapText="1"/>
    </xf>
    <xf numFmtId="0" fontId="10" fillId="4" borderId="12" xfId="0" applyFont="1" applyFill="1" applyBorder="1" applyAlignment="1">
      <alignment vertical="center" wrapText="1"/>
    </xf>
    <xf numFmtId="0" fontId="13" fillId="4" borderId="12" xfId="0" applyFont="1" applyFill="1" applyBorder="1" applyAlignment="1">
      <alignment wrapText="1"/>
    </xf>
    <xf numFmtId="0" fontId="12" fillId="2" borderId="12" xfId="0" applyFont="1" applyFill="1" applyBorder="1"/>
    <xf numFmtId="0" fontId="14" fillId="0" borderId="0" xfId="0" applyFont="1"/>
    <xf numFmtId="0" fontId="15" fillId="2" borderId="12" xfId="0" applyFont="1" applyFill="1" applyBorder="1" applyAlignment="1">
      <alignment horizontal="center" vertical="center" wrapText="1"/>
    </xf>
    <xf numFmtId="0" fontId="10" fillId="0" borderId="0" xfId="0" applyFont="1" applyAlignment="1">
      <alignment horizontal="center" vertical="center" wrapText="1"/>
    </xf>
    <xf numFmtId="0" fontId="4" fillId="4" borderId="0" xfId="0" applyFont="1" applyFill="1" applyBorder="1"/>
    <xf numFmtId="164" fontId="13" fillId="4" borderId="0" xfId="0" applyNumberFormat="1" applyFont="1" applyFill="1" applyBorder="1" applyAlignment="1">
      <alignment horizontal="right"/>
    </xf>
    <xf numFmtId="0" fontId="5" fillId="0" borderId="0" xfId="0" applyFont="1" applyBorder="1" applyAlignment="1">
      <alignment wrapText="1"/>
    </xf>
    <xf numFmtId="0" fontId="10" fillId="4" borderId="0" xfId="0" applyFont="1" applyFill="1"/>
    <xf numFmtId="0" fontId="13" fillId="2" borderId="12" xfId="0" applyFont="1" applyFill="1" applyBorder="1" applyAlignment="1">
      <alignment horizontal="center" vertical="center"/>
    </xf>
    <xf numFmtId="0" fontId="13" fillId="2" borderId="12" xfId="0" applyFont="1" applyFill="1" applyBorder="1"/>
    <xf numFmtId="0" fontId="0" fillId="0" borderId="0" xfId="0" applyFill="1"/>
    <xf numFmtId="164" fontId="8" fillId="0" borderId="12" xfId="1" applyNumberFormat="1" applyFont="1" applyBorder="1" applyAlignment="1">
      <alignment horizontal="center" vertical="center"/>
    </xf>
    <xf numFmtId="165" fontId="17" fillId="0" borderId="12" xfId="0" applyNumberFormat="1" applyFont="1" applyFill="1" applyBorder="1" applyAlignment="1"/>
    <xf numFmtId="167" fontId="17" fillId="0" borderId="12" xfId="0" applyNumberFormat="1" applyFont="1" applyFill="1" applyBorder="1" applyAlignment="1"/>
    <xf numFmtId="166" fontId="8" fillId="0" borderId="12"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xf>
    <xf numFmtId="9" fontId="13" fillId="4" borderId="12"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0" fontId="19" fillId="0" borderId="0" xfId="0" applyFont="1"/>
    <xf numFmtId="0" fontId="10" fillId="2" borderId="9" xfId="0" applyFont="1" applyFill="1" applyBorder="1"/>
    <xf numFmtId="0" fontId="20" fillId="0" borderId="0" xfId="0" applyFont="1"/>
    <xf numFmtId="0" fontId="13" fillId="2" borderId="12" xfId="0" applyFont="1" applyFill="1" applyBorder="1" applyAlignment="1">
      <alignment horizontal="center" vertical="center" wrapText="1"/>
    </xf>
    <xf numFmtId="0" fontId="0" fillId="0" borderId="0" xfId="0" applyAlignment="1">
      <alignment horizontal="center" vertical="center"/>
    </xf>
    <xf numFmtId="0" fontId="13" fillId="2" borderId="7" xfId="0" applyFont="1" applyFill="1" applyBorder="1"/>
    <xf numFmtId="0" fontId="13" fillId="4" borderId="7" xfId="0" applyFont="1" applyFill="1" applyBorder="1" applyAlignment="1">
      <alignment wrapText="1"/>
    </xf>
    <xf numFmtId="0" fontId="21" fillId="2" borderId="12" xfId="0" applyFont="1" applyFill="1" applyBorder="1" applyAlignment="1">
      <alignment horizontal="center" vertical="center" wrapText="1"/>
    </xf>
    <xf numFmtId="0" fontId="20" fillId="0" borderId="12" xfId="0" applyFont="1" applyBorder="1"/>
    <xf numFmtId="0" fontId="10" fillId="2" borderId="0" xfId="0" applyFont="1" applyFill="1" applyAlignment="1">
      <alignment horizontal="center" vertical="center" wrapText="1"/>
    </xf>
    <xf numFmtId="0" fontId="6" fillId="0" borderId="0" xfId="0" applyFont="1" applyAlignment="1">
      <alignment horizontal="right"/>
    </xf>
    <xf numFmtId="0" fontId="6" fillId="0" borderId="0" xfId="0" applyFont="1"/>
    <xf numFmtId="165" fontId="17" fillId="3" borderId="12" xfId="0" applyNumberFormat="1" applyFont="1" applyFill="1" applyBorder="1" applyAlignment="1"/>
    <xf numFmtId="165" fontId="17" fillId="0" borderId="12" xfId="0" applyNumberFormat="1" applyFont="1" applyBorder="1" applyAlignment="1"/>
    <xf numFmtId="3" fontId="8" fillId="0" borderId="12" xfId="1" applyNumberFormat="1" applyFont="1" applyBorder="1"/>
    <xf numFmtId="1" fontId="6" fillId="0" borderId="12" xfId="0" applyNumberFormat="1" applyFont="1" applyFill="1" applyBorder="1"/>
    <xf numFmtId="0" fontId="19" fillId="0" borderId="0" xfId="0" applyFont="1" applyBorder="1"/>
    <xf numFmtId="0" fontId="10" fillId="2" borderId="12" xfId="0" applyFont="1" applyFill="1" applyBorder="1"/>
    <xf numFmtId="0" fontId="13" fillId="4" borderId="0" xfId="0" applyFont="1" applyFill="1" applyBorder="1" applyAlignment="1">
      <alignment wrapText="1"/>
    </xf>
    <xf numFmtId="4" fontId="13" fillId="4" borderId="0" xfId="0" applyNumberFormat="1" applyFont="1" applyFill="1" applyBorder="1" applyAlignment="1">
      <alignment horizontal="right" vertical="center" wrapText="1"/>
    </xf>
    <xf numFmtId="4" fontId="13" fillId="4" borderId="0" xfId="0" applyNumberFormat="1" applyFont="1" applyFill="1" applyBorder="1" applyAlignment="1">
      <alignment wrapText="1"/>
    </xf>
    <xf numFmtId="0" fontId="8" fillId="0" borderId="0"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Border="1" applyAlignment="1">
      <alignment wrapText="1"/>
    </xf>
    <xf numFmtId="1" fontId="6" fillId="2" borderId="12" xfId="0" applyNumberFormat="1" applyFont="1" applyFill="1" applyBorder="1" applyAlignment="1">
      <alignment horizontal="center" vertical="center" wrapText="1"/>
    </xf>
    <xf numFmtId="0" fontId="0" fillId="5" borderId="0" xfId="0" applyFill="1" applyAlignment="1">
      <alignment vertical="top" wrapText="1"/>
    </xf>
    <xf numFmtId="0" fontId="24" fillId="0" borderId="0" xfId="0" applyFont="1"/>
    <xf numFmtId="0" fontId="27" fillId="0" borderId="0" xfId="0" applyFont="1" applyAlignment="1">
      <alignment vertical="top"/>
    </xf>
    <xf numFmtId="0" fontId="0" fillId="0" borderId="0" xfId="0" applyFill="1" applyAlignment="1">
      <alignment vertical="top" wrapText="1"/>
    </xf>
    <xf numFmtId="0" fontId="0" fillId="6" borderId="0" xfId="0" applyFill="1" applyAlignment="1">
      <alignment vertical="top" wrapText="1"/>
    </xf>
    <xf numFmtId="0" fontId="0" fillId="7" borderId="0" xfId="0" applyFill="1" applyAlignment="1">
      <alignment vertical="top" wrapText="1"/>
    </xf>
    <xf numFmtId="0" fontId="0" fillId="8" borderId="0" xfId="0" applyFill="1" applyAlignment="1">
      <alignment vertical="top" wrapText="1"/>
    </xf>
    <xf numFmtId="0" fontId="2" fillId="0" borderId="0" xfId="0" applyFont="1" applyAlignment="1">
      <alignment horizontal="left" vertical="top" wrapText="1"/>
    </xf>
    <xf numFmtId="0" fontId="5" fillId="0" borderId="0" xfId="0" applyFont="1" applyAlignment="1">
      <alignment vertical="top" wrapText="1"/>
    </xf>
    <xf numFmtId="0" fontId="5" fillId="0" borderId="0" xfId="0" applyFont="1" applyFill="1"/>
    <xf numFmtId="0" fontId="5" fillId="0" borderId="0" xfId="0" applyFont="1" applyFill="1" applyAlignment="1">
      <alignment vertical="top" wrapText="1"/>
    </xf>
    <xf numFmtId="0" fontId="26" fillId="0" borderId="0" xfId="5" applyFill="1" applyAlignment="1">
      <alignment vertical="top" wrapText="1"/>
    </xf>
    <xf numFmtId="0" fontId="26" fillId="0" borderId="0" xfId="5" applyAlignment="1">
      <alignment horizontal="left" vertical="top" wrapText="1"/>
    </xf>
    <xf numFmtId="0" fontId="26" fillId="0" borderId="0" xfId="5" applyAlignment="1">
      <alignment vertical="top" wrapText="1"/>
    </xf>
    <xf numFmtId="0" fontId="5" fillId="0" borderId="0" xfId="0" applyFont="1" applyAlignment="1">
      <alignment horizontal="left" vertical="top" wrapText="1"/>
    </xf>
    <xf numFmtId="0" fontId="5" fillId="0" borderId="8" xfId="0" applyFont="1" applyBorder="1" applyAlignment="1">
      <alignment vertical="top" wrapText="1"/>
    </xf>
    <xf numFmtId="0" fontId="5" fillId="0" borderId="8" xfId="0" applyFont="1" applyFill="1" applyBorder="1" applyAlignment="1">
      <alignment vertical="top" wrapText="1"/>
    </xf>
    <xf numFmtId="0" fontId="27" fillId="0" borderId="0" xfId="0" applyFont="1" applyFill="1" applyAlignment="1">
      <alignment vertical="top"/>
    </xf>
    <xf numFmtId="0" fontId="26" fillId="0" borderId="0" xfId="5" applyFill="1" applyAlignment="1">
      <alignment vertical="top"/>
    </xf>
    <xf numFmtId="0" fontId="0" fillId="0" borderId="0" xfId="0" applyFill="1" applyAlignment="1">
      <alignment vertical="top"/>
    </xf>
    <xf numFmtId="0" fontId="27" fillId="0" borderId="0" xfId="0" applyFont="1" applyFill="1"/>
    <xf numFmtId="0" fontId="0" fillId="0" borderId="0" xfId="0" applyAlignment="1">
      <alignment vertical="top" wrapText="1"/>
    </xf>
    <xf numFmtId="0" fontId="2" fillId="0" borderId="0" xfId="0" applyFont="1" applyAlignment="1">
      <alignment horizontal="left" vertical="top" wrapText="1"/>
    </xf>
    <xf numFmtId="0" fontId="10" fillId="2"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20" fillId="0" borderId="0" xfId="0" applyFont="1" applyAlignment="1">
      <alignment wrapText="1"/>
    </xf>
    <xf numFmtId="0" fontId="10" fillId="2" borderId="7" xfId="0" applyFont="1" applyFill="1" applyBorder="1" applyAlignment="1">
      <alignment horizontal="left" vertical="center" wrapText="1"/>
    </xf>
    <xf numFmtId="0" fontId="10" fillId="2" borderId="8" xfId="0" applyFont="1" applyFill="1" applyBorder="1" applyAlignment="1">
      <alignment wrapText="1"/>
    </xf>
    <xf numFmtId="0" fontId="10" fillId="2" borderId="9" xfId="0" applyFont="1" applyFill="1" applyBorder="1" applyAlignment="1">
      <alignment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wrapText="1"/>
    </xf>
    <xf numFmtId="3" fontId="20" fillId="3" borderId="12" xfId="1" applyNumberFormat="1" applyFont="1" applyFill="1" applyBorder="1" applyAlignment="1">
      <alignment horizontal="right" wrapText="1"/>
    </xf>
    <xf numFmtId="3" fontId="20" fillId="0" borderId="12" xfId="1" applyNumberFormat="1" applyFont="1" applyBorder="1" applyAlignment="1">
      <alignment horizontal="right" wrapText="1"/>
    </xf>
    <xf numFmtId="0" fontId="10" fillId="2" borderId="12" xfId="0" applyFont="1" applyFill="1" applyBorder="1" applyAlignment="1">
      <alignment horizontal="left" wrapText="1"/>
    </xf>
    <xf numFmtId="0" fontId="20" fillId="0" borderId="0" xfId="0" applyFont="1" applyAlignment="1">
      <alignment horizontal="left" vertical="center" wrapText="1"/>
    </xf>
    <xf numFmtId="0" fontId="10" fillId="2" borderId="8" xfId="0" applyFont="1" applyFill="1" applyBorder="1" applyAlignment="1">
      <alignment horizontal="right" wrapText="1"/>
    </xf>
    <xf numFmtId="0" fontId="10" fillId="2" borderId="9" xfId="0" applyFont="1" applyFill="1" applyBorder="1" applyAlignment="1">
      <alignment horizontal="right" wrapText="1"/>
    </xf>
    <xf numFmtId="0" fontId="10" fillId="2" borderId="5" xfId="0" applyFont="1" applyFill="1" applyBorder="1" applyAlignment="1">
      <alignment horizontal="right" wrapText="1"/>
    </xf>
    <xf numFmtId="0" fontId="10" fillId="2" borderId="6" xfId="0" applyFont="1" applyFill="1" applyBorder="1" applyAlignment="1">
      <alignment horizontal="right" wrapText="1"/>
    </xf>
    <xf numFmtId="0" fontId="20" fillId="0" borderId="0" xfId="0" applyFont="1" applyAlignment="1">
      <alignment horizontal="left" wrapText="1"/>
    </xf>
    <xf numFmtId="0" fontId="10" fillId="2" borderId="12" xfId="0" applyFont="1" applyFill="1" applyBorder="1" applyAlignment="1">
      <alignment horizontal="left" vertical="center" wrapText="1"/>
    </xf>
    <xf numFmtId="0" fontId="20" fillId="3" borderId="12" xfId="0" applyFont="1" applyFill="1" applyBorder="1" applyAlignment="1">
      <alignment horizontal="right" wrapText="1"/>
    </xf>
    <xf numFmtId="0" fontId="20" fillId="0" borderId="12" xfId="0" applyFont="1" applyBorder="1" applyAlignment="1">
      <alignment horizontal="right" wrapText="1"/>
    </xf>
    <xf numFmtId="0" fontId="34" fillId="3" borderId="12" xfId="0" applyFont="1" applyFill="1" applyBorder="1" applyAlignment="1">
      <alignment horizontal="right" wrapText="1"/>
    </xf>
    <xf numFmtId="0" fontId="34" fillId="0" borderId="12" xfId="0" applyFont="1" applyBorder="1" applyAlignment="1">
      <alignment horizontal="right" wrapText="1"/>
    </xf>
    <xf numFmtId="3" fontId="33" fillId="0" borderId="12" xfId="0" applyNumberFormat="1" applyFont="1" applyBorder="1" applyAlignment="1">
      <alignment horizontal="right" wrapText="1"/>
    </xf>
    <xf numFmtId="3" fontId="33" fillId="3" borderId="12" xfId="0" applyNumberFormat="1" applyFont="1" applyFill="1" applyBorder="1" applyAlignment="1">
      <alignment horizontal="right" wrapText="1"/>
    </xf>
    <xf numFmtId="3" fontId="35" fillId="3" borderId="12" xfId="0" applyNumberFormat="1" applyFont="1" applyFill="1" applyBorder="1" applyAlignment="1">
      <alignment horizontal="right" wrapText="1"/>
    </xf>
    <xf numFmtId="0" fontId="10" fillId="2" borderId="0" xfId="0" applyFont="1" applyFill="1" applyBorder="1" applyAlignment="1">
      <alignment horizontal="center" vertical="center" wrapText="1"/>
    </xf>
    <xf numFmtId="166" fontId="13" fillId="4" borderId="9" xfId="0" applyNumberFormat="1" applyFont="1" applyFill="1" applyBorder="1" applyAlignment="1">
      <alignment wrapText="1"/>
    </xf>
    <xf numFmtId="166" fontId="13" fillId="4" borderId="12" xfId="0" applyNumberFormat="1" applyFont="1" applyFill="1" applyBorder="1" applyAlignment="1">
      <alignment wrapText="1"/>
    </xf>
    <xf numFmtId="0" fontId="10" fillId="0" borderId="0" xfId="0" applyFont="1" applyFill="1" applyBorder="1" applyAlignment="1">
      <alignment vertical="center" wrapText="1"/>
    </xf>
    <xf numFmtId="0" fontId="8" fillId="0" borderId="0" xfId="0" applyFont="1" applyBorder="1"/>
    <xf numFmtId="0" fontId="6" fillId="0" borderId="0" xfId="0" applyFont="1" applyBorder="1"/>
    <xf numFmtId="0" fontId="10" fillId="2"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5" fillId="2" borderId="12" xfId="0" applyFont="1" applyFill="1" applyBorder="1" applyAlignment="1">
      <alignment horizontal="center" vertical="center"/>
    </xf>
    <xf numFmtId="9" fontId="10" fillId="4" borderId="12" xfId="0" applyNumberFormat="1" applyFont="1" applyFill="1" applyBorder="1" applyAlignment="1">
      <alignment wrapText="1"/>
    </xf>
    <xf numFmtId="9" fontId="10" fillId="4" borderId="12" xfId="0" applyNumberFormat="1" applyFont="1" applyFill="1" applyBorder="1" applyAlignment="1">
      <alignment horizontal="right" vertical="center" wrapText="1"/>
    </xf>
    <xf numFmtId="0" fontId="23" fillId="0" borderId="0" xfId="0" applyFont="1" applyAlignment="1">
      <alignment wrapText="1"/>
    </xf>
    <xf numFmtId="9" fontId="33" fillId="3" borderId="12" xfId="0" applyNumberFormat="1" applyFont="1" applyFill="1" applyBorder="1" applyAlignment="1">
      <alignment wrapText="1"/>
    </xf>
    <xf numFmtId="9" fontId="33" fillId="0" borderId="12" xfId="0" applyNumberFormat="1" applyFont="1" applyBorder="1" applyAlignment="1">
      <alignment wrapText="1"/>
    </xf>
    <xf numFmtId="9" fontId="10" fillId="4" borderId="12" xfId="0" applyNumberFormat="1" applyFont="1" applyFill="1" applyBorder="1" applyAlignment="1">
      <alignment horizontal="left" vertical="center" wrapText="1"/>
    </xf>
    <xf numFmtId="0" fontId="10" fillId="0" borderId="0" xfId="0" applyFont="1" applyFill="1" applyAlignment="1">
      <alignment wrapText="1"/>
    </xf>
    <xf numFmtId="9" fontId="36" fillId="3" borderId="12" xfId="0" applyNumberFormat="1" applyFont="1" applyFill="1" applyBorder="1" applyAlignment="1">
      <alignment wrapText="1"/>
    </xf>
    <xf numFmtId="9" fontId="36" fillId="0" borderId="12" xfId="0" applyNumberFormat="1" applyFont="1" applyBorder="1" applyAlignment="1">
      <alignment wrapText="1"/>
    </xf>
    <xf numFmtId="0" fontId="19" fillId="0" borderId="0" xfId="0" applyFont="1" applyAlignment="1"/>
    <xf numFmtId="3" fontId="17" fillId="3" borderId="12" xfId="0" applyNumberFormat="1" applyFont="1" applyFill="1" applyBorder="1" applyAlignment="1"/>
    <xf numFmtId="3" fontId="17" fillId="0" borderId="12" xfId="0" applyNumberFormat="1" applyFont="1" applyBorder="1" applyAlignment="1"/>
    <xf numFmtId="3" fontId="35" fillId="0" borderId="12" xfId="0" applyNumberFormat="1" applyFont="1" applyFill="1" applyBorder="1" applyAlignment="1"/>
    <xf numFmtId="3" fontId="35" fillId="3" borderId="12" xfId="0" applyNumberFormat="1" applyFont="1" applyFill="1" applyBorder="1" applyAlignment="1"/>
    <xf numFmtId="3" fontId="35" fillId="0" borderId="12" xfId="0" applyNumberFormat="1" applyFont="1" applyBorder="1" applyAlignment="1"/>
    <xf numFmtId="0" fontId="6" fillId="0" borderId="0" xfId="0" applyFont="1" applyAlignment="1">
      <alignment horizontal="center" vertical="center"/>
    </xf>
    <xf numFmtId="3" fontId="33" fillId="0" borderId="12" xfId="0" applyNumberFormat="1" applyFont="1" applyFill="1" applyBorder="1" applyAlignment="1"/>
    <xf numFmtId="3" fontId="10" fillId="4" borderId="0" xfId="0" applyNumberFormat="1" applyFont="1" applyFill="1"/>
    <xf numFmtId="3" fontId="33" fillId="3" borderId="12" xfId="0" applyNumberFormat="1" applyFont="1" applyFill="1" applyBorder="1" applyAlignment="1"/>
    <xf numFmtId="3" fontId="33" fillId="0" borderId="12" xfId="0" applyNumberFormat="1" applyFont="1" applyBorder="1" applyAlignment="1"/>
    <xf numFmtId="3" fontId="37" fillId="3" borderId="12" xfId="0" applyNumberFormat="1" applyFont="1" applyFill="1" applyBorder="1" applyAlignment="1"/>
    <xf numFmtId="0" fontId="10" fillId="2" borderId="8" xfId="0" applyFont="1" applyFill="1" applyBorder="1"/>
    <xf numFmtId="0" fontId="0" fillId="9" borderId="0" xfId="0" applyFill="1" applyBorder="1" applyAlignment="1">
      <alignment wrapText="1"/>
    </xf>
    <xf numFmtId="9" fontId="17" fillId="3" borderId="12" xfId="0" applyNumberFormat="1" applyFont="1" applyFill="1" applyBorder="1" applyAlignment="1">
      <alignment wrapText="1"/>
    </xf>
    <xf numFmtId="9" fontId="17" fillId="0" borderId="12" xfId="0" applyNumberFormat="1" applyFont="1" applyBorder="1" applyAlignment="1">
      <alignment wrapText="1"/>
    </xf>
    <xf numFmtId="3" fontId="37" fillId="0" borderId="12" xfId="0" applyNumberFormat="1" applyFont="1" applyBorder="1" applyAlignment="1"/>
    <xf numFmtId="0" fontId="20" fillId="0" borderId="0" xfId="0" applyFont="1" applyBorder="1"/>
    <xf numFmtId="0" fontId="10" fillId="2" borderId="0" xfId="0" applyFont="1" applyFill="1" applyBorder="1"/>
    <xf numFmtId="0" fontId="10" fillId="4" borderId="0" xfId="0" applyFont="1" applyFill="1" applyBorder="1" applyAlignment="1">
      <alignment wrapText="1"/>
    </xf>
    <xf numFmtId="4" fontId="10" fillId="4" borderId="0" xfId="0" applyNumberFormat="1" applyFont="1" applyFill="1" applyBorder="1" applyAlignment="1">
      <alignment horizontal="right" vertical="center" wrapText="1"/>
    </xf>
    <xf numFmtId="4" fontId="10" fillId="4" borderId="0" xfId="0" applyNumberFormat="1" applyFont="1" applyFill="1" applyBorder="1" applyAlignment="1">
      <alignment wrapText="1"/>
    </xf>
    <xf numFmtId="165" fontId="20" fillId="0" borderId="0" xfId="0" applyNumberFormat="1" applyFont="1" applyBorder="1" applyAlignment="1">
      <alignment horizontal="center"/>
    </xf>
    <xf numFmtId="4" fontId="20" fillId="0" borderId="0" xfId="0" applyNumberFormat="1" applyFont="1" applyBorder="1" applyAlignment="1">
      <alignment horizontal="center"/>
    </xf>
    <xf numFmtId="9" fontId="20" fillId="0" borderId="0" xfId="0" applyNumberFormat="1" applyFont="1" applyBorder="1"/>
    <xf numFmtId="43" fontId="20" fillId="0" borderId="0" xfId="0" applyNumberFormat="1" applyFont="1" applyBorder="1"/>
    <xf numFmtId="2" fontId="20" fillId="0" borderId="0" xfId="2" applyNumberFormat="1" applyFont="1" applyBorder="1"/>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0" borderId="0" xfId="0" applyFont="1" applyFill="1"/>
    <xf numFmtId="0" fontId="20" fillId="4" borderId="0" xfId="0" applyFont="1" applyFill="1"/>
    <xf numFmtId="0" fontId="20" fillId="0" borderId="0" xfId="0" applyFont="1" applyFill="1"/>
    <xf numFmtId="0" fontId="10" fillId="2" borderId="2" xfId="0" applyFont="1" applyFill="1" applyBorder="1"/>
    <xf numFmtId="165" fontId="33" fillId="3" borderId="12" xfId="0" applyNumberFormat="1" applyFont="1" applyFill="1" applyBorder="1" applyAlignment="1"/>
    <xf numFmtId="165" fontId="33" fillId="0" borderId="12" xfId="0" applyNumberFormat="1" applyFont="1" applyBorder="1" applyAlignment="1"/>
    <xf numFmtId="0" fontId="10" fillId="2" borderId="5" xfId="0" applyFont="1" applyFill="1" applyBorder="1"/>
    <xf numFmtId="0" fontId="10" fillId="4" borderId="12" xfId="0" applyFont="1" applyFill="1" applyBorder="1" applyAlignment="1">
      <alignment wrapText="1"/>
    </xf>
    <xf numFmtId="4" fontId="10" fillId="4" borderId="12" xfId="0" applyNumberFormat="1" applyFont="1" applyFill="1" applyBorder="1" applyAlignment="1">
      <alignment horizontal="right" vertical="center" wrapText="1"/>
    </xf>
    <xf numFmtId="4" fontId="10" fillId="4" borderId="12" xfId="0" applyNumberFormat="1" applyFont="1" applyFill="1" applyBorder="1" applyAlignment="1">
      <alignment wrapText="1"/>
    </xf>
    <xf numFmtId="0" fontId="20" fillId="0" borderId="0" xfId="0" applyFont="1" applyAlignment="1">
      <alignment horizontal="right"/>
    </xf>
    <xf numFmtId="9" fontId="20" fillId="0" borderId="0" xfId="0" applyNumberFormat="1" applyFont="1" applyBorder="1" applyAlignment="1">
      <alignment horizontal="right"/>
    </xf>
    <xf numFmtId="0" fontId="15" fillId="4" borderId="12" xfId="0" applyFont="1" applyFill="1" applyBorder="1" applyAlignment="1">
      <alignment horizontal="center" vertical="center" wrapText="1"/>
    </xf>
    <xf numFmtId="0" fontId="14" fillId="9" borderId="0" xfId="0" applyFont="1" applyFill="1" applyBorder="1" applyAlignment="1">
      <alignment wrapText="1"/>
    </xf>
    <xf numFmtId="1" fontId="15" fillId="2" borderId="12" xfId="0" applyNumberFormat="1" applyFont="1" applyFill="1" applyBorder="1" applyAlignment="1">
      <alignment horizontal="center" vertical="center" wrapText="1"/>
    </xf>
    <xf numFmtId="1" fontId="15" fillId="2" borderId="17" xfId="0" applyNumberFormat="1" applyFont="1" applyFill="1" applyBorder="1" applyAlignment="1">
      <alignment horizontal="center" vertical="center" wrapText="1"/>
    </xf>
    <xf numFmtId="0" fontId="15" fillId="2" borderId="17" xfId="0" applyFont="1" applyFill="1" applyBorder="1" applyAlignment="1">
      <alignment horizontal="center" vertical="center" wrapText="1"/>
    </xf>
    <xf numFmtId="0" fontId="9" fillId="4" borderId="12" xfId="0" applyFont="1" applyFill="1" applyBorder="1" applyAlignment="1">
      <alignment wrapText="1"/>
    </xf>
    <xf numFmtId="0" fontId="15" fillId="2" borderId="12" xfId="0" applyFont="1" applyFill="1" applyBorder="1" applyAlignment="1">
      <alignment wrapText="1"/>
    </xf>
    <xf numFmtId="0" fontId="15" fillId="2" borderId="12" xfId="0" applyFont="1" applyFill="1" applyBorder="1" applyAlignment="1">
      <alignment horizontal="left" vertical="center" wrapText="1"/>
    </xf>
    <xf numFmtId="9" fontId="15" fillId="4" borderId="12" xfId="0" applyNumberFormat="1" applyFont="1" applyFill="1" applyBorder="1" applyAlignment="1">
      <alignment horizontal="left" vertical="center" wrapText="1"/>
    </xf>
    <xf numFmtId="9" fontId="15" fillId="4" borderId="12" xfId="0" applyNumberFormat="1" applyFont="1" applyFill="1" applyBorder="1" applyAlignment="1">
      <alignment horizontal="right" vertical="center" wrapText="1"/>
    </xf>
    <xf numFmtId="9" fontId="15" fillId="4" borderId="12" xfId="0" applyNumberFormat="1" applyFont="1" applyFill="1" applyBorder="1" applyAlignment="1">
      <alignment horizontal="center" vertical="center"/>
    </xf>
    <xf numFmtId="0" fontId="0" fillId="0" borderId="0" xfId="0" applyAlignment="1">
      <alignment horizontal="center" vertical="center" wrapText="1"/>
    </xf>
    <xf numFmtId="9" fontId="33" fillId="3" borderId="12" xfId="0" applyNumberFormat="1" applyFont="1" applyFill="1" applyBorder="1" applyAlignment="1">
      <alignment horizontal="center" vertical="center"/>
    </xf>
    <xf numFmtId="9" fontId="33" fillId="0" borderId="12" xfId="0" applyNumberFormat="1" applyFont="1" applyBorder="1" applyAlignment="1">
      <alignment horizontal="center" vertical="center"/>
    </xf>
    <xf numFmtId="0" fontId="6" fillId="0" borderId="0" xfId="0" applyFont="1" applyBorder="1" applyAlignment="1">
      <alignment horizontal="center" vertical="center"/>
    </xf>
    <xf numFmtId="3" fontId="13" fillId="4" borderId="0" xfId="0" applyNumberFormat="1" applyFont="1" applyFill="1" applyBorder="1" applyAlignment="1">
      <alignment wrapText="1"/>
    </xf>
    <xf numFmtId="0" fontId="15"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 fillId="0" borderId="0" xfId="0" applyFont="1" applyAlignment="1">
      <alignment horizontal="left" vertical="top" wrapText="1"/>
    </xf>
    <xf numFmtId="0" fontId="15" fillId="2" borderId="13" xfId="0" applyFont="1" applyFill="1" applyBorder="1" applyAlignment="1">
      <alignment horizontal="center" vertical="center" wrapText="1"/>
    </xf>
    <xf numFmtId="0" fontId="26" fillId="0" borderId="0" xfId="5"/>
    <xf numFmtId="0" fontId="39" fillId="0" borderId="0" xfId="0" applyFont="1"/>
    <xf numFmtId="3" fontId="13" fillId="4" borderId="12" xfId="0" applyNumberFormat="1" applyFont="1" applyFill="1" applyBorder="1" applyAlignment="1">
      <alignment horizontal="right" vertical="center" wrapText="1"/>
    </xf>
    <xf numFmtId="0" fontId="40" fillId="0" borderId="0" xfId="0" applyFont="1" applyBorder="1" applyAlignment="1">
      <alignment wrapText="1"/>
    </xf>
    <xf numFmtId="0" fontId="39" fillId="9" borderId="0" xfId="0" applyFont="1" applyFill="1" applyBorder="1" applyAlignment="1">
      <alignment wrapText="1"/>
    </xf>
    <xf numFmtId="0" fontId="26" fillId="0" borderId="0" xfId="5" applyAlignment="1"/>
    <xf numFmtId="0" fontId="41" fillId="0" borderId="0" xfId="0" applyFont="1" applyAlignment="1"/>
    <xf numFmtId="0" fontId="41" fillId="0" borderId="0" xfId="0" applyFont="1" applyAlignment="1">
      <alignment wrapText="1"/>
    </xf>
    <xf numFmtId="0" fontId="15" fillId="2" borderId="6"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1" fillId="0" borderId="0" xfId="0" applyFont="1" applyFill="1" applyBorder="1" applyAlignment="1">
      <alignment wrapText="1"/>
    </xf>
    <xf numFmtId="0" fontId="15" fillId="2" borderId="9" xfId="0" applyFont="1" applyFill="1" applyBorder="1"/>
    <xf numFmtId="3" fontId="36" fillId="0" borderId="12" xfId="0" applyNumberFormat="1" applyFont="1" applyFill="1" applyBorder="1" applyAlignment="1"/>
    <xf numFmtId="9" fontId="36" fillId="0" borderId="12" xfId="0" applyNumberFormat="1" applyFont="1" applyFill="1" applyBorder="1" applyAlignment="1"/>
    <xf numFmtId="3" fontId="43" fillId="0" borderId="7" xfId="0" applyNumberFormat="1" applyFont="1" applyFill="1" applyBorder="1" applyAlignment="1"/>
    <xf numFmtId="0" fontId="19" fillId="0" borderId="0" xfId="0" applyFont="1" applyFill="1" applyBorder="1"/>
    <xf numFmtId="0" fontId="15" fillId="2" borderId="3" xfId="0" applyFont="1" applyFill="1" applyBorder="1"/>
    <xf numFmtId="3" fontId="36" fillId="0" borderId="14" xfId="0" applyNumberFormat="1" applyFont="1" applyFill="1" applyBorder="1" applyAlignment="1"/>
    <xf numFmtId="9" fontId="36" fillId="0" borderId="14" xfId="0" applyNumberFormat="1" applyFont="1" applyFill="1" applyBorder="1" applyAlignment="1"/>
    <xf numFmtId="3" fontId="43" fillId="0" borderId="1" xfId="0" applyNumberFormat="1" applyFont="1" applyFill="1" applyBorder="1" applyAlignment="1"/>
    <xf numFmtId="0" fontId="44" fillId="0" borderId="0" xfId="0" applyFont="1" applyAlignment="1"/>
    <xf numFmtId="0" fontId="45" fillId="0" borderId="0" xfId="5" applyFont="1" applyAlignment="1"/>
    <xf numFmtId="3" fontId="13" fillId="4" borderId="12" xfId="0" applyNumberFormat="1" applyFont="1" applyFill="1" applyBorder="1" applyAlignment="1">
      <alignment wrapText="1"/>
    </xf>
    <xf numFmtId="0" fontId="0" fillId="0" borderId="0" xfId="0" applyAlignment="1">
      <alignment vertical="top" wrapText="1"/>
    </xf>
    <xf numFmtId="0" fontId="2" fillId="0" borderId="0" xfId="0" applyFont="1" applyAlignment="1">
      <alignment horizontal="left" vertical="top" wrapText="1"/>
    </xf>
    <xf numFmtId="0" fontId="6" fillId="4" borderId="12" xfId="0" applyFont="1" applyFill="1" applyBorder="1" applyAlignment="1">
      <alignment horizontal="center" vertical="center" wrapText="1"/>
    </xf>
    <xf numFmtId="0" fontId="2" fillId="0" borderId="0" xfId="0" applyFont="1" applyAlignment="1">
      <alignment vertical="top" wrapText="1"/>
    </xf>
    <xf numFmtId="0" fontId="0" fillId="10" borderId="0" xfId="0" applyFill="1" applyAlignment="1">
      <alignment vertical="top" wrapText="1"/>
    </xf>
    <xf numFmtId="0" fontId="0" fillId="10" borderId="0" xfId="0" applyFill="1" applyAlignment="1">
      <alignment horizontal="left" vertical="top" wrapText="1"/>
    </xf>
    <xf numFmtId="0" fontId="2" fillId="10" borderId="0" xfId="0" applyFont="1" applyFill="1" applyAlignment="1">
      <alignment horizontal="left" vertical="top" wrapText="1"/>
    </xf>
    <xf numFmtId="0" fontId="41" fillId="0" borderId="0" xfId="0" applyFont="1" applyAlignment="1">
      <alignment horizontal="left" vertical="center" wrapText="1"/>
    </xf>
    <xf numFmtId="0" fontId="40" fillId="0" borderId="0" xfId="0" applyFont="1" applyAlignment="1">
      <alignment horizontal="left" vertical="center"/>
    </xf>
    <xf numFmtId="0" fontId="10" fillId="2"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xf>
    <xf numFmtId="0" fontId="20" fillId="4" borderId="12" xfId="0" applyFont="1" applyFill="1" applyBorder="1"/>
    <xf numFmtId="0" fontId="10" fillId="4" borderId="12" xfId="0" applyFont="1" applyFill="1" applyBorder="1"/>
    <xf numFmtId="0" fontId="0" fillId="0" borderId="0" xfId="0" applyAlignment="1">
      <alignment horizontal="left" vertical="top" wrapText="1"/>
    </xf>
    <xf numFmtId="0" fontId="0" fillId="0" borderId="0" xfId="0" applyAlignment="1">
      <alignment vertical="top" wrapText="1"/>
    </xf>
    <xf numFmtId="0" fontId="5" fillId="0" borderId="8"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0" fillId="0" borderId="0" xfId="0" applyBorder="1" applyAlignment="1">
      <alignment horizontal="left" wrapText="1"/>
    </xf>
    <xf numFmtId="0" fontId="10"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0" fillId="0" borderId="0" xfId="0" applyFont="1" applyAlignment="1">
      <alignment horizontal="left"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0" fillId="9" borderId="0" xfId="0" applyFill="1" applyBorder="1" applyAlignment="1">
      <alignment horizontal="left"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26" fillId="0" borderId="0" xfId="5" applyAlignment="1">
      <alignment horizontal="left" wrapText="1"/>
    </xf>
    <xf numFmtId="0" fontId="10" fillId="4" borderId="12" xfId="0" applyFont="1" applyFill="1" applyBorder="1" applyAlignment="1">
      <alignment horizontal="center" wrapText="1"/>
    </xf>
    <xf numFmtId="0" fontId="0" fillId="0" borderId="0" xfId="0" applyAlignment="1">
      <alignment horizontal="left" vertical="center"/>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10" fillId="2" borderId="0" xfId="0" applyFont="1" applyFill="1" applyAlignment="1">
      <alignment horizontal="center" vertical="center"/>
    </xf>
  </cellXfs>
  <cellStyles count="6">
    <cellStyle name="Normal 2" xfId="3"/>
    <cellStyle name="Percent 2" xfId="4"/>
    <cellStyle name="Κανονικό" xfId="0" builtinId="0"/>
    <cellStyle name="Κόμμα" xfId="1" builtinId="3"/>
    <cellStyle name="Νομισματική μονάδα" xfId="2" builtinId="4"/>
    <cellStyle name="Υπερ-σύνδεση" xfId="5" builtinId="8"/>
  </cellStyles>
  <dxfs count="176">
    <dxf>
      <font>
        <b/>
        <i/>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right/>
        <top style="thin">
          <color indexed="64"/>
        </top>
        <bottom style="thin">
          <color indexed="64"/>
        </bottom>
      </border>
    </dxf>
    <dxf>
      <border outline="0">
        <left style="thin">
          <color indexed="64"/>
        </left>
      </border>
    </dxf>
    <dxf>
      <font>
        <strike val="0"/>
        <outline val="0"/>
        <shadow val="0"/>
        <u val="none"/>
        <vertAlign val="baseline"/>
        <sz val="14"/>
        <name val="Calibri"/>
        <scheme val="minor"/>
      </font>
    </dxf>
    <dxf>
      <font>
        <strike val="0"/>
        <outline val="0"/>
        <shadow val="0"/>
        <u val="none"/>
        <vertAlign val="baseline"/>
        <sz val="14"/>
        <name val="Calibri"/>
        <scheme val="minor"/>
      </font>
    </dxf>
    <dxf>
      <font>
        <b/>
        <i/>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right style="thin">
          <color indexed="64"/>
        </right>
        <top style="thin">
          <color indexed="64"/>
        </top>
        <bottom style="thin">
          <color indexed="64"/>
        </bottom>
      </border>
    </dxf>
    <dxf>
      <border outline="0">
        <left style="thin">
          <color indexed="64"/>
        </left>
      </border>
    </dxf>
    <dxf>
      <font>
        <strike val="0"/>
        <outline val="0"/>
        <shadow val="0"/>
        <u val="none"/>
        <vertAlign val="baseline"/>
        <sz val="14"/>
        <name val="Calibri"/>
        <scheme val="minor"/>
      </font>
    </dxf>
    <dxf>
      <font>
        <strike val="0"/>
        <outline val="0"/>
        <shadow val="0"/>
        <u val="none"/>
        <vertAlign val="baseline"/>
        <sz val="14"/>
        <name val="Calibri"/>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4"/>
        <name val="Calibri"/>
        <scheme val="minor"/>
      </font>
      <numFmt numFmtId="1" formatCode="0"/>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166" formatCode="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166" formatCode="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166" formatCode="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numFmt numFmtId="166" formatCode="0.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7" formatCode="#,##0.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7" formatCode="#,##0.0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4" formatCode="_-* #,##0.000\ _€_-;\-* #,##0.000\ _€_-;_-* &quot;-&quot;??\ _€_-;_-@_-"/>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3"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scheme val="minor"/>
      </font>
      <fill>
        <patternFill>
          <fgColor indexed="64"/>
          <bgColor theme="4"/>
        </patternFill>
      </fill>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font>
    </dxf>
    <dxf>
      <font>
        <b/>
        <i val="0"/>
        <strike val="0"/>
        <condense val="0"/>
        <extend val="0"/>
        <outline val="0"/>
        <shadow val="0"/>
        <u val="none"/>
        <vertAlign val="baseline"/>
        <sz val="14"/>
        <color theme="1"/>
        <name val="Calibri"/>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3" formatCode="#,##0"/>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numFmt numFmtId="165" formatCode="#,##0.00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0"/>
        <name val="Calibri"/>
        <scheme val="minor"/>
      </font>
      <fill>
        <patternFill>
          <fgColor indexed="64"/>
          <bgColor theme="4"/>
        </patternFill>
      </fill>
    </dxf>
    <dxf>
      <border outline="0">
        <left style="thin">
          <color indexed="64"/>
        </left>
        <right style="thin">
          <color indexed="64"/>
        </right>
      </border>
    </dxf>
    <dxf>
      <font>
        <strike val="0"/>
        <outline val="0"/>
        <shadow val="0"/>
        <u val="none"/>
        <vertAlign val="baseline"/>
        <sz val="14"/>
        <name val="Calibri"/>
        <scheme val="minor"/>
      </font>
    </dxf>
    <dxf>
      <font>
        <b/>
        <i val="0"/>
        <strike val="0"/>
        <condense val="0"/>
        <extend val="0"/>
        <outline val="0"/>
        <shadow val="0"/>
        <u val="none"/>
        <vertAlign val="baseline"/>
        <sz val="14"/>
        <color theme="0"/>
        <name val="Calibri"/>
        <scheme val="minor"/>
      </font>
      <fill>
        <patternFill patternType="solid">
          <fgColor indexed="64"/>
          <bgColor theme="4"/>
        </patternFill>
      </fill>
      <alignment horizontal="center" vertical="center" textRotation="0" wrapText="1" indent="0" justifyLastLine="0" shrinkToFit="0" readingOrder="0"/>
    </dxf>
    <dxf>
      <font>
        <b/>
        <i val="0"/>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5" formatCode="#,##0.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scheme val="minor"/>
      </font>
      <fill>
        <patternFill patternType="solid">
          <fgColor indexed="64"/>
          <bgColor theme="4"/>
        </patternFill>
      </fill>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0"/>
        <name val="Calibri"/>
        <scheme val="minor"/>
      </font>
      <fill>
        <patternFill patternType="solid">
          <fgColor indexed="64"/>
          <bgColor theme="4"/>
        </patternFill>
      </fill>
      <alignment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scheme val="none"/>
      </font>
      <alignment horizontal="center" vertical="bottom" textRotation="0" wrapText="1" indent="0" justifyLastLine="0" shrinkToFit="0" readingOrder="0"/>
    </dxf>
    <dxf>
      <border outline="0">
        <bottom style="thin">
          <color rgb="FF000000"/>
        </bottom>
      </border>
    </dxf>
    <dxf>
      <font>
        <b/>
        <i val="0"/>
        <strike val="0"/>
        <condense val="0"/>
        <extend val="0"/>
        <outline val="0"/>
        <shadow val="0"/>
        <u val="none"/>
        <vertAlign val="baseline"/>
        <sz val="14"/>
        <color theme="1"/>
        <name val="Calibri"/>
        <scheme val="minor"/>
      </font>
      <fill>
        <patternFill patternType="solid">
          <fgColor indexed="64"/>
          <bgColor theme="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657225</xdr:colOff>
      <xdr:row>5</xdr:row>
      <xdr:rowOff>85726</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381000"/>
          <a:ext cx="657225" cy="657226"/>
        </a:xfrm>
        <a:prstGeom prst="rect">
          <a:avLst/>
        </a:prstGeom>
        <a:noFill/>
        <a:ln>
          <a:noFill/>
        </a:ln>
        <a:extLst/>
      </xdr:spPr>
    </xdr:pic>
    <xdr:clientData/>
  </xdr:twoCellAnchor>
  <xdr:twoCellAnchor editAs="oneCell">
    <xdr:from>
      <xdr:col>3</xdr:col>
      <xdr:colOff>304801</xdr:colOff>
      <xdr:row>2</xdr:row>
      <xdr:rowOff>33338</xdr:rowOff>
    </xdr:from>
    <xdr:to>
      <xdr:col>5</xdr:col>
      <xdr:colOff>333376</xdr:colOff>
      <xdr:row>5</xdr:row>
      <xdr:rowOff>90488</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3601" y="414338"/>
          <a:ext cx="685800" cy="628650"/>
        </a:xfrm>
        <a:prstGeom prst="rect">
          <a:avLst/>
        </a:prstGeom>
      </xdr:spPr>
    </xdr:pic>
    <xdr:clientData/>
  </xdr:twoCellAnchor>
</xdr:wsDr>
</file>

<file path=xl/tables/table1.xml><?xml version="1.0" encoding="utf-8"?>
<table xmlns="http://schemas.openxmlformats.org/spreadsheetml/2006/main" id="4" name="Table35" displayName="Table35" ref="A3:H29" totalsRowShown="0" headerRowDxfId="175" dataDxfId="173" headerRowBorderDxfId="174" tableBorderDxfId="172" totalsRowBorderDxfId="171">
  <autoFilter ref="A3:H29"/>
  <tableColumns count="8">
    <tableColumn id="1" name="MS" dataDxfId="170"/>
    <tableColumn id="2" name="Stove (€/MW)" dataDxfId="169"/>
    <tableColumn id="37" name="Electric Water heater (€/MW)" dataDxfId="168"/>
    <tableColumn id="3" name="A/C (€/MW)" dataDxfId="167"/>
    <tableColumn id="4" name="Other electric appliances (€/MW)" dataDxfId="166"/>
    <tableColumn id="6" name="Heat pumps (€/MW)" dataDxfId="165"/>
    <tableColumn id="7" name="Oil Burner (€/MW)" dataDxfId="164"/>
    <tableColumn id="8" name="Burner (Pellet, wood,…) (€/MW)" dataDxfId="163"/>
  </tableColumns>
  <tableStyleInfo name="TableStyleLight13" showFirstColumn="0" showLastColumn="0" showRowStripes="1" showColumnStripes="0"/>
</table>
</file>

<file path=xl/tables/table2.xml><?xml version="1.0" encoding="utf-8"?>
<table xmlns="http://schemas.openxmlformats.org/spreadsheetml/2006/main" id="3" name="Table3" displayName="Table3" ref="A3:AG29" totalsRowShown="0" headerRowDxfId="162" dataDxfId="160" headerRowBorderDxfId="161" tableBorderDxfId="159" totalsRowBorderDxfId="158">
  <autoFilter ref="A3:AG29"/>
  <tableColumns count="33">
    <tableColumn id="1" name="MS" dataDxfId="157"/>
    <tableColumn id="2" name="Stove (€/MW)" dataDxfId="156">
      <calculatedColumnFormula>Table35[[#This Row],[Stove (€/MW)]]</calculatedColumnFormula>
    </tableColumn>
    <tableColumn id="37" name="Electric Water heater (€/MW)" dataDxfId="155">
      <calculatedColumnFormula>Table35[[#This Row],[Electric Water heater (€/MW)]]</calculatedColumnFormula>
    </tableColumn>
    <tableColumn id="3" name="A/C (€/MW)" dataDxfId="154">
      <calculatedColumnFormula>Table35[[#This Row],[A/C (€/MW)]]</calculatedColumnFormula>
    </tableColumn>
    <tableColumn id="4" name="Other electric appliances (€/MW)" dataDxfId="153">
      <calculatedColumnFormula>Table35[[#This Row],[Other electric appliances (€/MW)]]</calculatedColumnFormula>
    </tableColumn>
    <tableColumn id="6" name="Heat pumps (€/MW)" dataDxfId="152">
      <calculatedColumnFormula>Table35[[#This Row],[Heat pumps (€/MW)]]</calculatedColumnFormula>
    </tableColumn>
    <tableColumn id="7" name="Oil Burner (€/MW)" dataDxfId="151">
      <calculatedColumnFormula>Table35[[#This Row],[Oil Burner (€/MW)]]</calculatedColumnFormula>
    </tableColumn>
    <tableColumn id="8" name="Burner (Pellet, wood,…) (€/MW)" dataDxfId="150">
      <calculatedColumnFormula>Table35[[#This Row],[Burner (Pellet, wood,…) (€/MW)]]</calculatedColumnFormula>
    </tableColumn>
    <tableColumn id="9" name="Natural gas_x000a_(€/kWh)" dataDxfId="149">
      <calculatedColumnFormula>'Fuel Prices excl. VAT'!B3</calculatedColumnFormula>
    </tableColumn>
    <tableColumn id="10" name="Electricity_x000a_(€/kWh)" dataDxfId="148">
      <calculatedColumnFormula>'Fuel Prices excl. VAT'!D3</calculatedColumnFormula>
    </tableColumn>
    <tableColumn id="11" name="Heating oil_x000a_(€/kWh)" dataDxfId="147">
      <calculatedColumnFormula>'Fuel Prices excl. VAT'!F3</calculatedColumnFormula>
    </tableColumn>
    <tableColumn id="12" name="Pellet_x000a_(€/kWh)" dataDxfId="146">
      <calculatedColumnFormula>'Fuel Prices excl. VAT'!H3</calculatedColumnFormula>
    </tableColumn>
    <tableColumn id="13" name="Δ (electricity price - gas price)_x000a_(€/kWh)" dataDxfId="145">
      <calculatedColumnFormula>J4-I4</calculatedColumnFormula>
    </tableColumn>
    <tableColumn id="14" name="Δ (heating oil price - gas price)_x000a_(€/kWh)" dataDxfId="144">
      <calculatedColumnFormula>K4-I4</calculatedColumnFormula>
    </tableColumn>
    <tableColumn id="15" name="Δ (pellet/wood price - gas price)_x000a_(€/kWh)" dataDxfId="143">
      <calculatedColumnFormula>L4-I4</calculatedColumnFormula>
    </tableColumn>
    <tableColumn id="16" name="CAPEX/H_x000a_Stove_x000a_(€/MWh)" dataDxfId="142">
      <calculatedColumnFormula>Table3[[#This Row],[Stove (€/MW)]]/'Utilisation by Sector'!$B$7</calculatedColumnFormula>
    </tableColumn>
    <tableColumn id="19" name="CAPEX/H_x000a_Electric water heater_x000a_(€/MWh)" dataDxfId="141">
      <calculatedColumnFormula>Table3[[#This Row],[Electric Water heater (€/MW)]]/'Utilisation by Sector'!$C$7</calculatedColumnFormula>
    </tableColumn>
    <tableColumn id="17" name="CAPEX/H_x000a_A/C_x000a_(€/MWh)" dataDxfId="140">
      <calculatedColumnFormula>Table3[[#This Row],[A/C (€/MW)]]/'Utilisation by Sector'!$D$7</calculatedColumnFormula>
    </tableColumn>
    <tableColumn id="18" name="CAPEX/H_x000a_Other electric appliances_x000a_(€/MWh)" dataDxfId="139">
      <calculatedColumnFormula>Table3[[#This Row],[Other electric appliances (€/MW)]]/'Utilisation by Sector'!$E$7</calculatedColumnFormula>
    </tableColumn>
    <tableColumn id="20" name="CAPEX/H_x000a_Heat pumps_x000a_(€/MWh)" dataDxfId="138">
      <calculatedColumnFormula>Table3[[#This Row],[Heat pumps (€/MW)]]/'Utilisation by Sector'!$F$7</calculatedColumnFormula>
    </tableColumn>
    <tableColumn id="21" name="CAPEX/H_x000a_Oil burner_x000a_(€/MWh)" dataDxfId="137">
      <calculatedColumnFormula>Table3[[#This Row],[Oil Burner (€/MW)]]/'Utilisation by Sector'!$G$7</calculatedColumnFormula>
    </tableColumn>
    <tableColumn id="22" name="CAPEX/H_x000a_Pellet/Wood burner_x000a_(€/MWh)" dataDxfId="136">
      <calculatedColumnFormula>Table3[[#This Row],[Burner (Pellet, wood,…) (€/MW)]]/'Utilisation by Sector'!$H$7</calculatedColumnFormula>
    </tableColumn>
    <tableColumn id="23" name="UCM_x000a_Stove_x000a_(€/MWh)" dataDxfId="135">
      <calculatedColumnFormula>P4+M4*1000</calculatedColumnFormula>
    </tableColumn>
    <tableColumn id="26" name="UCM_x000a_Electric water heater_x000a_(€/MWh)" dataDxfId="134">
      <calculatedColumnFormula>Q4+M4*1000</calculatedColumnFormula>
    </tableColumn>
    <tableColumn id="24" name="UCM_x000a_A/C_x000a_(€/MWh)" dataDxfId="133">
      <calculatedColumnFormula>R4+M4*1000</calculatedColumnFormula>
    </tableColumn>
    <tableColumn id="25" name="UCM_x000a_Other elecric appliances_x000a_(€/MWh)" dataDxfId="132">
      <calculatedColumnFormula>S4+M4*1000</calculatedColumnFormula>
    </tableColumn>
    <tableColumn id="27" name="UCM_x000a_heat pumps_x000a_(€/MWh)" dataDxfId="131">
      <calculatedColumnFormula>T4+M4*1000</calculatedColumnFormula>
    </tableColumn>
    <tableColumn id="28" name="UCM_x000a_Oil burner_x000a_(€/MWh) " dataDxfId="130">
      <calculatedColumnFormula>U4+N4*1000</calculatedColumnFormula>
    </tableColumn>
    <tableColumn id="29" name="UCM_x000a_Pellet/Wood burner_x000a_(€/MWh)" dataDxfId="129">
      <calculatedColumnFormula>V4+O4*1000</calculatedColumnFormula>
    </tableColumn>
    <tableColumn id="30" name="UCM for cooking_x000a_(€/MWh)" dataDxfId="128">
      <calculatedColumnFormula>Table3[[#This Row],[UCM
Stove
(€/MWh)]]*'W.F. at Appliance Level'!B4</calculatedColumnFormula>
    </tableColumn>
    <tableColumn id="31" name="UCM for water heating_x000a_(€/MWh)" dataDxfId="127">
      <calculatedColumnFormula>Table3[[#This Row],[UCM
Electric water heater
(€/MWh)]]*'W.F. at Appliance Level'!C4</calculatedColumnFormula>
    </tableColumn>
    <tableColumn id="32" name="UCM for space heating_x000a_(€/MWh)" dataDxfId="126">
      <calculatedColumnFormula>Table3[[#This Row],[UCM
A/C
(€/MWh)]]*'W.F. at Appliance Level'!D4+Table3[[#This Row],[UCM
Other elecric appliances
(€/MWh)]]*'W.F. at Appliance Level'!E4+Table3[[#This Row],[UCM
heat pumps
(€/MWh)]]*'W.F. at Appliance Level'!F4+Table3[[#This Row],[UCM
Oil burner
(€/MWh) ]]*'W.F. at Appliance Level'!G4+Table3[[#This Row],[UCM
Pellet/Wood burner
(€/MWh)]]*'W.F. at Appliance Level'!H4</calculatedColumnFormula>
    </tableColumn>
    <tableColumn id="36" name="Total UCM at Residential Sector_x000a_(€/MWh)" dataDxfId="125">
      <calculatedColumnFormula>Table3[[#This Row],[UCM for cooking
(€/MWh)]]*'W.F. End-use Level'!B5+Table3[[#This Row],[UCM for water heating
(€/MWh)]]*'W.F. End-use Level'!C5+Table3[[#This Row],[UCM for space heating
(€/MWh)]]*'W.F. End-use Level'!D5</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8" name="Table8" displayName="Table8" ref="A3:BL29" totalsRowShown="0" headerRowDxfId="124" dataDxfId="123" tableBorderDxfId="122">
  <autoFilter ref="A3:BL29"/>
  <tableColumns count="64">
    <tableColumn id="1" name="MS" dataDxfId="121"/>
    <tableColumn id="2" name="Stove_x000a_(€/MW)" dataDxfId="120">
      <calculatedColumnFormula>Table35[[#This Row],[Stove (€/MW)]]</calculatedColumnFormula>
    </tableColumn>
    <tableColumn id="80" name="Electric Water heater_x000a_(€/MW)" dataDxfId="119">
      <calculatedColumnFormula>Table35[[#This Row],[Electric Water heater (€/MW)]]</calculatedColumnFormula>
    </tableColumn>
    <tableColumn id="3" name="A/C_x000a_(€/MW)" dataDxfId="118">
      <calculatedColumnFormula>Table35[[#This Row],[A/C (€/MW)]]</calculatedColumnFormula>
    </tableColumn>
    <tableColumn id="4" name="Other electric appliances_x000a_(€/MW)" dataDxfId="117">
      <calculatedColumnFormula>Table35[[#This Row],[Other electric appliances (€/MW)]]</calculatedColumnFormula>
    </tableColumn>
    <tableColumn id="6" name="Heat pumps_x000a_(€/MW)" dataDxfId="116">
      <calculatedColumnFormula>Table35[[#This Row],[Heat pumps (€/MW)]]</calculatedColumnFormula>
    </tableColumn>
    <tableColumn id="7" name="Oil Burner_x000a_(€/MW)" dataDxfId="115">
      <calculatedColumnFormula>Table35[[#This Row],[Oil Burner (€/MW)]]</calculatedColumnFormula>
    </tableColumn>
    <tableColumn id="8" name="Burner (Pellet, wood,…)_x000a_(€/MW)" dataDxfId="114">
      <calculatedColumnFormula>Table35[[#This Row],[Burner (Pellet, wood,…) (€/MW)]]</calculatedColumnFormula>
    </tableColumn>
    <tableColumn id="9" name="Natural gas_x000a_(€/kWh)" dataDxfId="113">
      <calculatedColumnFormula>'Fuel Prices excl. VAT'!B3</calculatedColumnFormula>
    </tableColumn>
    <tableColumn id="10" name="Electricity_x000a_(€/kWh)" dataDxfId="112">
      <calculatedColumnFormula>'Fuel Prices excl. VAT'!D3</calculatedColumnFormula>
    </tableColumn>
    <tableColumn id="11" name="Heating oil_x000a_(€/kWh)" dataDxfId="111">
      <calculatedColumnFormula>'Fuel Prices excl. VAT'!F3</calculatedColumnFormula>
    </tableColumn>
    <tableColumn id="12" name="Pellet_x000a_(€/kWh)" dataDxfId="110">
      <calculatedColumnFormula>'Fuel Prices excl. VAT'!H3</calculatedColumnFormula>
    </tableColumn>
    <tableColumn id="13" name="Δ (electricity price - gas price)_x000a_(€/kWh)" dataDxfId="109">
      <calculatedColumnFormula>J4-I4</calculatedColumnFormula>
    </tableColumn>
    <tableColumn id="14" name="Δ (heating oil price - gas price)_x000a_(€/kWh)" dataDxfId="108">
      <calculatedColumnFormula>K4-I4</calculatedColumnFormula>
    </tableColumn>
    <tableColumn id="15" name="Δ (pellet/wood price - gas price)_x000a_(€/kWh)" dataDxfId="107">
      <calculatedColumnFormula>L4-I4</calculatedColumnFormula>
    </tableColumn>
    <tableColumn id="17" name="CAPEX/H_x000a_Stove_x000a_(€/MWh)" dataDxfId="106">
      <calculatedColumnFormula>B4/'Utilisation by Sector'!$T$9</calculatedColumnFormula>
    </tableColumn>
    <tableColumn id="20" name="CAPEX/H_x000a_Electric water heater_x000a_(€/MWh)" dataDxfId="105">
      <calculatedColumnFormula>C4/'Utilisation by Sector'!$T$9</calculatedColumnFormula>
    </tableColumn>
    <tableColumn id="18" name="CAPEX/H_x000a_A/C_x000a_(€/MWh)" dataDxfId="104">
      <calculatedColumnFormula>D4/'Utilisation by Sector'!$V$9</calculatedColumnFormula>
    </tableColumn>
    <tableColumn id="19" name="CAPEX/H_x000a_Other electric appliances_x000a_(€/MWh)" dataDxfId="103">
      <calculatedColumnFormula>E4/'Utilisation by Sector'!$W$9</calculatedColumnFormula>
    </tableColumn>
    <tableColumn id="21" name="CAPEX/H_x000a_Heat pumps_x000a_(€/MWh)" dataDxfId="102">
      <calculatedColumnFormula>F4/'Utilisation by Sector'!$X$9</calculatedColumnFormula>
    </tableColumn>
    <tableColumn id="22" name="CAPEX/H_x000a_Oil burner_x000a_(€/MWh)" dataDxfId="101">
      <calculatedColumnFormula>G4/'Utilisation by Sector'!$Y$9</calculatedColumnFormula>
    </tableColumn>
    <tableColumn id="23" name="CAPEX/H_x000a_Pellet/Wood burner_x000a_(€/MWh)" dataDxfId="100">
      <calculatedColumnFormula>H4/'Utilisation by Sector'!$Z$9</calculatedColumnFormula>
    </tableColumn>
    <tableColumn id="24" name="UCM_x000a_Stove_x000a_(€/MWh)" dataDxfId="99">
      <calculatedColumnFormula>P4+M4*1000</calculatedColumnFormula>
    </tableColumn>
    <tableColumn id="27" name="UCM_x000a_Electric water heater_x000a_(€/MWh)" dataDxfId="98">
      <calculatedColumnFormula>Q4+M4*1000</calculatedColumnFormula>
    </tableColumn>
    <tableColumn id="25" name="UCM_x000a_A/C_x000a_(€/MWh)" dataDxfId="97">
      <calculatedColumnFormula>R4+M4*1000</calculatedColumnFormula>
    </tableColumn>
    <tableColumn id="26" name="UCM_x000a_Other elecric appliances_x000a_(€/MWh)" dataDxfId="96">
      <calculatedColumnFormula>S4+M4*1000</calculatedColumnFormula>
    </tableColumn>
    <tableColumn id="28" name="UCM_x000a_heat pumps_x000a_(€/MWh)" dataDxfId="95">
      <calculatedColumnFormula>T4+M4*1000</calculatedColumnFormula>
    </tableColumn>
    <tableColumn id="29" name="UCM_x000a_Oil burner _x000a_(€/MWh)" dataDxfId="94">
      <calculatedColumnFormula>U4+N4*1000</calculatedColumnFormula>
    </tableColumn>
    <tableColumn id="30" name="UCM_x000a_Pellet/Wood burner_x000a_(€/MWh)" dataDxfId="93">
      <calculatedColumnFormula>V4+O4*1000</calculatedColumnFormula>
    </tableColumn>
    <tableColumn id="31" name="UCM for cooking_x000a_(€/MWh)" dataDxfId="92">
      <calculatedColumnFormula>Table8[[#This Row],[UCM
Stove
(€/MWh)]]*'W.F. at Appliance Level'!P4</calculatedColumnFormula>
    </tableColumn>
    <tableColumn id="32" name="UCM for water heating_x000a_(€/MWh)" dataDxfId="91">
      <calculatedColumnFormula>Table8[[#This Row],[UCM
Electric water heater
(€/MWh)]]*'W.F. at Appliance Level'!Q4</calculatedColumnFormula>
    </tableColumn>
    <tableColumn id="33" name="UCM for space heating_x000a_(€/MWh)" dataDxfId="90">
      <calculatedColumnFormula>Table8[[#This Row],[UCM
A/C
(€/MWh)]]*'W.F. at Appliance Level'!R4+Table8[[#This Row],[UCM
Other elecric appliances
(€/MWh)]]*'W.F. at Appliance Level'!S4+Table8[[#This Row],[UCM
heat pumps
(€/MWh)]]*'W.F. at Appliance Level'!T4+Table8[[#This Row],[UCM
Oil burner 
(€/MWh)]]*'W.F. at Appliance Level'!U4+Table8[[#This Row],[UCM
Pellet/Wood burner
(€/MWh)]]*'W.F. at Appliance Level'!V4</calculatedColumnFormula>
    </tableColumn>
    <tableColumn id="37" name="Total UCM_x000a_(€/MWh)" dataDxfId="89">
      <calculatedColumnFormula>Table8[[#This Row],[UCM for cooking
(€/MWh)]]*'W.F. End-use Level'!V5+Table8[[#This Row],[UCM for water heating
(€/MWh)]]*'W.F. End-use Level'!W5+Table8[[#This Row],[UCM for space heating
(€/MWh)]]*'W.F. End-use Level'!X5</calculatedColumnFormula>
    </tableColumn>
    <tableColumn id="91" name="CAPEX/H_x000a_Electric water heater_x000a_(€/MWh) " dataDxfId="88">
      <calculatedColumnFormula>C4/'Utilisation by Sector'!$U$15</calculatedColumnFormula>
    </tableColumn>
    <tableColumn id="39" name="CAPEX/H_x000a_A/C_x000a_(€/MWh) " dataDxfId="87">
      <calculatedColumnFormula>D4/'Utilisation by Sector'!$V$15</calculatedColumnFormula>
    </tableColumn>
    <tableColumn id="40" name="CAPEX/H_x000a_Other electric appliances_x000a_(€/MWh) " dataDxfId="86">
      <calculatedColumnFormula>E4/'Utilisation by Sector'!$W$15</calculatedColumnFormula>
    </tableColumn>
    <tableColumn id="43" name="CAPEX/H_x000a_Heat pumps_x000a_(€/MWh) " dataDxfId="85">
      <calculatedColumnFormula>F4/'Utilisation by Sector'!$X$15</calculatedColumnFormula>
    </tableColumn>
    <tableColumn id="44" name="CAPEX/H_x000a_Oil burner_x000a_(€/MWh) " dataDxfId="84">
      <calculatedColumnFormula>G4/'Utilisation by Sector'!$Y$15</calculatedColumnFormula>
    </tableColumn>
    <tableColumn id="45" name="CAPEX/H_x000a_Pellet/Wood burner_x000a_(€/MWh) " dataDxfId="83">
      <calculatedColumnFormula>H4/'Utilisation by Sector'!$Z$15</calculatedColumnFormula>
    </tableColumn>
    <tableColumn id="92" name="UCM_x000a_Electric water heater_x000a_(€/MWh) " dataDxfId="82">
      <calculatedColumnFormula>AH4+M4*1000</calculatedColumnFormula>
    </tableColumn>
    <tableColumn id="47" name="UCM_x000a_A/C_x000a_(€/MWh) " dataDxfId="81">
      <calculatedColumnFormula>AI4+M4*1000</calculatedColumnFormula>
    </tableColumn>
    <tableColumn id="48" name="UCM_x000a_Other elecric appliances_x000a_(€/MWh) " dataDxfId="80">
      <calculatedColumnFormula>AJ4+M4*1000</calculatedColumnFormula>
    </tableColumn>
    <tableColumn id="50" name="UCM_x000a_heat pumps_x000a_(€/MWh) " dataDxfId="79">
      <calculatedColumnFormula>AK4+M4*1000</calculatedColumnFormula>
    </tableColumn>
    <tableColumn id="51" name="UCM_x000a_Oil burner_x000a_(€/MWh)" dataDxfId="78">
      <calculatedColumnFormula>AL4+N4*1000</calculatedColumnFormula>
    </tableColumn>
    <tableColumn id="52" name="UCM_x000a_Pellet/Wood burner_x000a_(€/MWh) " dataDxfId="77">
      <calculatedColumnFormula>AM4+O4*1000</calculatedColumnFormula>
    </tableColumn>
    <tableColumn id="54" name="UCM for water heating_x000a_(€/MWh) " dataDxfId="76">
      <calculatedColumnFormula>Table8[[#This Row],[UCM
Electric water heater
(€/MWh) ]]*'W.F. at Appliance Level'!X4</calculatedColumnFormula>
    </tableColumn>
    <tableColumn id="55" name="UCM for space heating_x000a_(€/MWh) " dataDxfId="75">
      <calculatedColumnFormula>Table8[[#This Row],[UCM
A/C
(€/MWh) ]]*'W.F. at Appliance Level'!Y4+Table8[[#This Row],[UCM
Other elecric appliances
(€/MWh) ]]*'W.F. at Appliance Level'!Z4+Table8[[#This Row],[UCM
heat pumps
(€/MWh) ]]*'W.F. at Appliance Level'!AA4+Table8[[#This Row],[UCM
Oil burner
(€/MWh)]]*'W.F. at Appliance Level'!AB4+Table8[[#This Row],[UCM
Pellet/Wood burner
(€/MWh) ]]*'W.F. at Appliance Level'!AC4</calculatedColumnFormula>
    </tableColumn>
    <tableColumn id="58" name="Total UCM_x000a_(€/MWh) " dataDxfId="74">
      <calculatedColumnFormula>Table8[[#This Row],[UCM for water heating
(€/MWh) ]]*'W.F. End-use Level'!Y5+Table8[[#This Row],[UCM for space heating
(€/MWh) ]]*'W.F. End-use Level'!Z5</calculatedColumnFormula>
    </tableColumn>
    <tableColumn id="94" name="CAPEX/H_x000a_Electric water heater_x000a_(€/MWh)  " dataDxfId="73">
      <calculatedColumnFormula>C4/'Utilisation by Sector'!$U$21</calculatedColumnFormula>
    </tableColumn>
    <tableColumn id="60" name="CAPEX/H_x000a_A/C_x000a_(€/MWh)  " dataDxfId="72">
      <calculatedColumnFormula>D4/'Utilisation by Sector'!$V$21</calculatedColumnFormula>
    </tableColumn>
    <tableColumn id="61" name="CAPEX/H_x000a_Other electric appliances_x000a_(€/MWh)  " dataDxfId="71">
      <calculatedColumnFormula>E4/'Utilisation by Sector'!$W$21</calculatedColumnFormula>
    </tableColumn>
    <tableColumn id="63" name="CAPEX/H_x000a_Heat pumps_x000a_(€/MWh)  " dataDxfId="70">
      <calculatedColumnFormula>F4/'Utilisation by Sector'!$X$21</calculatedColumnFormula>
    </tableColumn>
    <tableColumn id="64" name="CAPEX/H_x000a_Oil burner _x000a_(€/MWh)" dataDxfId="69">
      <calculatedColumnFormula>G4/'Utilisation by Sector'!$Y$21</calculatedColumnFormula>
    </tableColumn>
    <tableColumn id="65" name="CAPEX/H_x000a_Pellet/Wood burner_x000a_(€/MWh)  " dataDxfId="68">
      <calculatedColumnFormula>H4/'Utilisation by Sector'!$Z$21</calculatedColumnFormula>
    </tableColumn>
    <tableColumn id="95" name="UCM Electric water heater_x000a_(€/MWh)" dataDxfId="67">
      <calculatedColumnFormula>AW4+M4*1000</calculatedColumnFormula>
    </tableColumn>
    <tableColumn id="67" name="UCM_x000a_A/C_x000a_(€/MWh)  " dataDxfId="66">
      <calculatedColumnFormula>AX4+M4*1000</calculatedColumnFormula>
    </tableColumn>
    <tableColumn id="68" name="UCM_x000a_Other elecric appliances_x000a_(€/MWh)  " dataDxfId="65">
      <calculatedColumnFormula>AY4+M4*1000</calculatedColumnFormula>
    </tableColumn>
    <tableColumn id="71" name="UCM_x000a_heat pumps_x000a_(€/MWh)  " dataDxfId="64">
      <calculatedColumnFormula>AZ4+M4*1000</calculatedColumnFormula>
    </tableColumn>
    <tableColumn id="72" name="UCM_x000a_Oil burner_x000a_(€/MWh) " dataDxfId="63">
      <calculatedColumnFormula>BA4+N4*1000</calculatedColumnFormula>
    </tableColumn>
    <tableColumn id="73" name="UCM_x000a_Pellet/Wood burner_x000a_(€/MWh)  " dataDxfId="62">
      <calculatedColumnFormula>BB4+O4*1000</calculatedColumnFormula>
    </tableColumn>
    <tableColumn id="75" name="UCM for water heating_x000a_(€/MWh)  " dataDxfId="61">
      <calculatedColumnFormula>Table8[[#This Row],[UCM Electric water heater
(€/MWh)]]*'W.F. at Appliance Level'!X4</calculatedColumnFormula>
    </tableColumn>
    <tableColumn id="76" name="UCM for space heating_x000a_(€/MWh)  " dataDxfId="60">
      <calculatedColumnFormula>Table8[[#This Row],[UCM
A/C
(€/MWh)  ]]*'W.F. at Appliance Level'!Y4+Table8[[#This Row],[UCM
Other elecric appliances
(€/MWh)  ]]*'W.F. at Appliance Level'!Z4+Table8[[#This Row],[UCM
heat pumps
(€/MWh)  ]]*'W.F. at Appliance Level'!AA4+Table8[[#This Row],[UCM
Oil burner
(€/MWh) ]]*'W.F. at Appliance Level'!AB4+Table8[[#This Row],[UCM
Pellet/Wood burner
(€/MWh)  ]]*'W.F. at Appliance Level'!AC4</calculatedColumnFormula>
    </tableColumn>
    <tableColumn id="97" name="Total UCM _x000a_(€/MWh)" dataDxfId="59">
      <calculatedColumnFormula>Table8[[#This Row],[UCM for water heating
(€/MWh)  ]]*'W.F. End-use Level'!AA5+Table8[[#This Row],[UCM for space heating
(€/MWh)  ]]*'W.F. End-use Level'!AB5</calculatedColumnFormula>
    </tableColumn>
    <tableColumn id="79" name="Total UCM at Services Non-Protected Sector_x000a_(€/MWh)" dataDxfId="58">
      <calculatedColumnFormula>Table8[[#This Row],[Total UCM
(€/MWh)]]*'W.F. at Subsector Level'!H4+Table8[[#This Row],[Total UCM
(€/MWh) ]]*'W.F. at Subsector Level'!I4+Table8[[#This Row],[Total UCM 
(€/MWh)]]*'W.F. at Subsector Level'!J4</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6" name="Table6" displayName="Table6" ref="A3:S29" totalsRowShown="0" headerRowDxfId="57" dataDxfId="56">
  <autoFilter ref="A3:S29"/>
  <tableColumns count="19">
    <tableColumn id="1" name="MS" dataDxfId="55"/>
    <tableColumn id="2" name="Oil fired boiler_x000a_(€/ΜW)" dataDxfId="54"/>
    <tableColumn id="3" name="Electric boiler_x000a_(€/ΜW)" dataDxfId="53"/>
    <tableColumn id="4" name="Gas price_x000a_(€/kWh)" dataDxfId="52">
      <calculatedColumnFormula>'Fuel Prices excl. VAT'!C3</calculatedColumnFormula>
    </tableColumn>
    <tableColumn id="5" name="Fuel Oil_x000a_(€/kWh)" dataDxfId="51">
      <calculatedColumnFormula>'Fuel Prices excl. VAT'!G3</calculatedColumnFormula>
    </tableColumn>
    <tableColumn id="6" name="Electricity price (€/kWh)" dataDxfId="50">
      <calculatedColumnFormula>'Fuel Prices excl. VAT'!E3</calculatedColumnFormula>
    </tableColumn>
    <tableColumn id="7" name="Δ (fuel oil price - gas price) (€/kWh)" dataDxfId="49">
      <calculatedColumnFormula>E4-D4</calculatedColumnFormula>
    </tableColumn>
    <tableColumn id="8" name="Δ (electricity price - gas price) (€/kWh)" dataDxfId="48">
      <calculatedColumnFormula>F4-D4</calculatedColumnFormula>
    </tableColumn>
    <tableColumn id="9" name="CAPEX/H_x000a_Oil fired boiler_x000a_(€/MWh)" dataDxfId="47">
      <calculatedColumnFormula>Table6[[#This Row],[Oil fired boiler
(€/ΜW)]]/'Utilisation by Sector'!$AG$9</calculatedColumnFormula>
    </tableColumn>
    <tableColumn id="10" name="CAPEX/H_x000a_electric boiler_x000a_(€/MWh)" dataDxfId="46">
      <calculatedColumnFormula>Table6[[#This Row],[Electric boiler
(€/ΜW)]]/'Utilisation by Sector'!$AH$9</calculatedColumnFormula>
    </tableColumn>
    <tableColumn id="11" name="UCM_x000a_Oil fired boiler_x000a_(€/MWh)" dataDxfId="45">
      <calculatedColumnFormula>I4+G4*1000</calculatedColumnFormula>
    </tableColumn>
    <tableColumn id="12" name="UCM_x000a_electric boiler_x000a_(€/MWh)" dataDxfId="44">
      <calculatedColumnFormula>J4+H4*1000</calculatedColumnFormula>
    </tableColumn>
    <tableColumn id="18" name="Total UCM_x000a_(€/MWh)" dataDxfId="43">
      <calculatedColumnFormula>Table6[[#This Row],[UCM
Oil fired boiler
(€/MWh)]]*'W.F. at Appliance Level'!AD4+Table6[[#This Row],[UCM
electric boiler
(€/MWh)]]*'W.F. at Appliance Level'!AE4</calculatedColumnFormula>
    </tableColumn>
    <tableColumn id="13" name="CAPEX/H_x000a_Oil fired boiler_x000a_(€/MWh) " dataDxfId="42">
      <calculatedColumnFormula>Table6[[#This Row],[Oil fired boiler
(€/ΜW)]]/'Utilisation by Sector'!$AG$10</calculatedColumnFormula>
    </tableColumn>
    <tableColumn id="14" name="CAPEX/H_x000a_electric boiler_x000a_(€/MWh) " dataDxfId="41">
      <calculatedColumnFormula>Table6[[#This Row],[Electric boiler
(€/ΜW)]]/'Utilisation by Sector'!$AH$10</calculatedColumnFormula>
    </tableColumn>
    <tableColumn id="15" name="UCM_x000a_Oil fired boiler_x000a_(€/MWh) " dataDxfId="40">
      <calculatedColumnFormula>N4+G4*1000</calculatedColumnFormula>
    </tableColumn>
    <tableColumn id="16" name="UCM_x000a_electric boiler_x000a_(€/MWh) " dataDxfId="39">
      <calculatedColumnFormula>O4+H4*1000</calculatedColumnFormula>
    </tableColumn>
    <tableColumn id="19" name="Total UCM_x000a_(€/MWh) " dataDxfId="38">
      <calculatedColumnFormula>Table6[[#This Row],[UCM
Oil fired boiler
(€/MWh) ]]*'W.F. at Appliance Level'!AD4+Table6[[#This Row],[UCM
electric boiler
(€/MWh) ]]*'W.F. at Appliance Level'!AE4</calculatedColumnFormula>
    </tableColumn>
    <tableColumn id="17" name="Industrial Average (Fuel)_x000a_(€/MWh)" dataDxfId="37">
      <calculatedColumnFormula>Table6[[#This Row],[Total UCM
(€/MWh)]]*'W.F. at Subsector Level'!K4+Table6[[#This Row],[Total UCM
(€/MWh) ]]*'W.F. at Subsector Level'!L4</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 name="Table1" displayName="Table1" ref="A1:L27" totalsRowShown="0" headerRowDxfId="36" dataDxfId="34" headerRowBorderDxfId="35" tableBorderDxfId="33" totalsRowBorderDxfId="32" dataCellStyle="Normal 2">
  <autoFilter ref="A1:L27"/>
  <tableColumns count="12">
    <tableColumn id="1" name="MS" dataDxfId="31"/>
    <tableColumn id="2" name="GVA Industry (€)" dataDxfId="30"/>
    <tableColumn id="3" name="Natural gas non-energy use in chemical - petrochemical industry_x000a_(ktoe)" dataDxfId="29" dataCellStyle="Normal 2"/>
    <tableColumn id="4" name="Naturar gas energy consumption in chemical - petrochemical industry_x000a_(ktoe)" dataDxfId="28" dataCellStyle="Normal 2"/>
    <tableColumn id="5" name="Total fuel energy consumption in chemical - petrochemical industry_x000a_(ktoe)" dataDxfId="27" dataCellStyle="Normal 2"/>
    <tableColumn id="6" name="Total non-energy use in chemical - petrochemical industry_x000a_(ktoe)" dataDxfId="26" dataCellStyle="Normal 2"/>
    <tableColumn id="7" name="GVA (Part of natural gas in chemical -petrochemical industry)_x000a_(€)" dataDxfId="25"/>
    <tableColumn id="10" name="UCM (Feedstock)_x000a_(€/MWh)" dataDxfId="24"/>
    <tableColumn id="9" name="UCM (Fuel)_x000a_(€/MWh)" dataDxfId="23">
      <calculatedColumnFormula>'fuel UCM Industrial'!S4</calculatedColumnFormula>
    </tableColumn>
    <tableColumn id="11" name="Weighting factor for Fuel_x000a_(%)" dataDxfId="22"/>
    <tableColumn id="12" name="Weighting factor for Feedstock_x000a_(%)" dataDxfId="21"/>
    <tableColumn id="8" name="UCM at Industry Sector_x000a_(€/MWh)" dataDxfId="20">
      <calculatedColumnFormula>Table1[[#This Row],[UCM (Feedstock)
(€/MWh)]]*Table1[[#This Row],[Weighting factor for Feedstock
(%)]]+Table1[[#This Row],[UCM (Fuel)
(€/MWh)]]*Table1[[#This Row],[Weighting factor for Fuel
(%)]]</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10" name="Table10" displayName="Table10" ref="A3:G29" totalsRowShown="0" headerRowDxfId="19" dataDxfId="18" tableBorderDxfId="17">
  <autoFilter ref="A3:G29"/>
  <tableColumns count="7">
    <tableColumn id="1" name="MS" dataDxfId="16"/>
    <tableColumn id="2" name="Residential Sector" dataDxfId="15">
      <calculatedColumnFormula>Table3[[#This Row],[Total UCM at Residential Sector
(€/MWh)]]</calculatedColumnFormula>
    </tableColumn>
    <tableColumn id="3" name="Services Protected Sector" dataDxfId="14">
      <calculatedColumnFormula>'UCM Services Protected'!DQ4</calculatedColumnFormula>
    </tableColumn>
    <tableColumn id="4" name="Services Non-Protected Sector" dataDxfId="13">
      <calculatedColumnFormula>Table8[[#This Row],[Total UCM at Services Non-Protected Sector
(€/MWh)]]</calculatedColumnFormula>
    </tableColumn>
    <tableColumn id="5" name="Industrial Sector" dataDxfId="12">
      <calculatedColumnFormula>Table6[[#This Row],[Industrial Average (Fuel)
(€/MWh)]]</calculatedColumnFormula>
    </tableColumn>
    <tableColumn id="6" name="Power Sector" dataDxfId="11">
      <calculatedColumnFormula>'UCM Power'!O4</calculatedColumnFormula>
    </tableColumn>
    <tableColumn id="12" name="Total UCM at Member State Level" dataDxfId="10">
      <calculatedColumnFormula>Table10[[#This Row],[Residential Sector]]*'W.F. at Sector Level'!B5+(AVERAGE(Table10[[#This Row],[Services Protected Sector]:[Services Non-Protected Sector]])*'W.F. at Sector Level'!C5)+Table10[[#This Row],[Industrial Sector]]*'W.F. at Sector Level'!D5+Table10[[#This Row],[Power Sector]]*'W.F. at Sector Level'!E5</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2" name="Table103" displayName="Table103" ref="A3:G29" totalsRowShown="0" headerRowDxfId="9" dataDxfId="8" tableBorderDxfId="7">
  <autoFilter ref="A3:G29"/>
  <tableColumns count="7">
    <tableColumn id="1" name="MS" dataDxfId="6"/>
    <tableColumn id="2" name="Residential Sector" dataDxfId="5">
      <calculatedColumnFormula>Table3[[#This Row],[Total UCM at Residential Sector
(€/MWh)]]</calculatedColumnFormula>
    </tableColumn>
    <tableColumn id="3" name="Services Protected Sector" dataDxfId="4">
      <calculatedColumnFormula>'UCM Services Protected'!DQ4</calculatedColumnFormula>
    </tableColumn>
    <tableColumn id="4" name="Services Non-Protected Sector" dataDxfId="3">
      <calculatedColumnFormula>Table8[[#This Row],[Total UCM at Services Non-Protected Sector
(€/MWh)]]</calculatedColumnFormula>
    </tableColumn>
    <tableColumn id="5" name="Industrial Sector" dataDxfId="2">
      <calculatedColumnFormula>'feedstock UCM Industrial'!L2</calculatedColumnFormula>
    </tableColumn>
    <tableColumn id="6" name="Power Sector" dataDxfId="1">
      <calculatedColumnFormula>'UCM Power'!O4</calculatedColumnFormula>
    </tableColumn>
    <tableColumn id="12" name="Total UCM at Member State Level" dataDxfId="0">
      <calculatedColumnFormula>Table103[[#This Row],[Residential Sector]]*'W.F. at Sector Level'!F5+(AVERAGE(Table103[[#This Row],[Services Protected Sector]:[Services Non-Protected Sector]])*'W.F. at Sector Level'!G5)+Table103[[#This Row],[Industrial Sector]]*'W.F. at Sector Level'!H5+Table103[[#This Row],[Power Sector]]*'W.F. at Sector Level'!I5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appsso.eurostat.ec.europa.eu/nui/show.do?dataset=nama_10_a64&amp;lang=en" TargetMode="External"/><Relationship Id="rId1" Type="http://schemas.openxmlformats.org/officeDocument/2006/relationships/hyperlink" Target="https://ec.europa.eu/eurostat/web/energy/data/energy-balances" TargetMode="External"/><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2.xml.rels><?xml version="1.0" encoding="UTF-8" standalone="yes"?>
<Relationships xmlns="http://schemas.openxmlformats.org/package/2006/relationships"><Relationship Id="rId3" Type="http://schemas.openxmlformats.org/officeDocument/2006/relationships/hyperlink" Target="http://appsso.eurostat.ec.europa.eu/nui/show.do?dataset=nrg_pc_204&amp;lang=en" TargetMode="External"/><Relationship Id="rId2" Type="http://schemas.openxmlformats.org/officeDocument/2006/relationships/hyperlink" Target="http://appsso.eurostat.ec.europa.eu/nui/show.do?dataset=nrg_pc_203&amp;lang=en" TargetMode="External"/><Relationship Id="rId1" Type="http://schemas.openxmlformats.org/officeDocument/2006/relationships/hyperlink" Target="http://appsso.eurostat.ec.europa.eu/nui/show.do?dataset=nrg_pc_202&amp;lang=en" TargetMode="External"/><Relationship Id="rId6" Type="http://schemas.openxmlformats.org/officeDocument/2006/relationships/printerSettings" Target="../printerSettings/printerSettings2.bin"/><Relationship Id="rId5" Type="http://schemas.openxmlformats.org/officeDocument/2006/relationships/hyperlink" Target="https://ec.europa.eu/energy/en/data-analysis/weekly-oil-bulletin" TargetMode="External"/><Relationship Id="rId4" Type="http://schemas.openxmlformats.org/officeDocument/2006/relationships/hyperlink" Target="http://appsso.eurostat.ec.europa.eu/nui/show.do?dataset=nrg_pc_205&amp;lang=en"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ec.europa.eu/eurostat/statistics-explained/images/1/16/Energy_consumption_households_final.xlsx" TargetMode="External"/><Relationship Id="rId1" Type="http://schemas.openxmlformats.org/officeDocument/2006/relationships/hyperlink" Target="https://ec.europa.eu/eurostat/statistics-explained/index.php?title=Energy_consumption_in_household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europa.eu/eurostat/web/energy/data/energy-balances"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S42"/>
  <sheetViews>
    <sheetView showGridLines="0" tabSelected="1" topLeftCell="A20" workbookViewId="0">
      <selection activeCell="S42" sqref="S42"/>
    </sheetView>
  </sheetViews>
  <sheetFormatPr defaultRowHeight="15" x14ac:dyDescent="0.25"/>
  <cols>
    <col min="1" max="1" width="1.85546875" customWidth="1"/>
    <col min="2" max="2" width="2.85546875" customWidth="1"/>
    <col min="3" max="3" width="11.28515625" customWidth="1"/>
    <col min="5" max="5" width="0.7109375" style="29" customWidth="1"/>
    <col min="6" max="6" width="30.7109375" customWidth="1"/>
  </cols>
  <sheetData>
    <row r="8" spans="3:19" ht="21" x14ac:dyDescent="0.35">
      <c r="C8" s="63" t="s">
        <v>47</v>
      </c>
      <c r="D8" s="3"/>
      <c r="E8" s="71"/>
      <c r="F8" s="3"/>
      <c r="G8" s="3"/>
      <c r="H8" s="3"/>
      <c r="I8" s="3"/>
      <c r="J8" s="3"/>
      <c r="K8" s="3"/>
    </row>
    <row r="10" spans="3:19" ht="46.5" customHeight="1" x14ac:dyDescent="0.25">
      <c r="C10" s="233" t="s">
        <v>329</v>
      </c>
      <c r="D10" s="233"/>
      <c r="E10" s="233"/>
      <c r="F10" s="233"/>
      <c r="G10" s="233"/>
      <c r="H10" s="233"/>
      <c r="I10" s="233"/>
      <c r="J10" s="233"/>
      <c r="K10" s="233"/>
      <c r="L10" s="233"/>
      <c r="M10" s="233"/>
      <c r="N10" s="233"/>
      <c r="O10" s="233"/>
      <c r="P10" s="233"/>
      <c r="Q10" s="233"/>
      <c r="R10" s="233"/>
    </row>
    <row r="11" spans="3:19" ht="13.5" customHeight="1" x14ac:dyDescent="0.25">
      <c r="C11" s="234" t="s">
        <v>236</v>
      </c>
      <c r="D11" s="234"/>
      <c r="E11" s="234"/>
      <c r="F11" s="234"/>
      <c r="G11" s="234"/>
      <c r="H11" s="234"/>
      <c r="I11" s="234"/>
      <c r="J11" s="234"/>
      <c r="K11" s="234"/>
      <c r="L11" s="234"/>
      <c r="M11" s="234"/>
      <c r="N11" s="234"/>
      <c r="O11" s="234"/>
      <c r="P11" s="234"/>
      <c r="Q11" s="234"/>
      <c r="R11" s="234"/>
      <c r="S11" s="8"/>
    </row>
    <row r="12" spans="3:19" ht="13.5" customHeight="1" x14ac:dyDescent="0.25">
      <c r="D12" s="8"/>
      <c r="E12" s="8"/>
      <c r="F12" s="8"/>
      <c r="G12" s="8"/>
      <c r="H12" s="8"/>
      <c r="I12" s="8"/>
      <c r="J12" s="8"/>
      <c r="K12" s="8"/>
      <c r="L12" s="8"/>
      <c r="M12" s="8"/>
      <c r="N12" s="8"/>
      <c r="O12" s="8"/>
      <c r="P12" s="8"/>
      <c r="Q12" s="8"/>
      <c r="R12" s="8"/>
      <c r="S12" s="8"/>
    </row>
    <row r="13" spans="3:19" ht="17.25" customHeight="1" x14ac:dyDescent="0.25">
      <c r="C13" s="77" t="s">
        <v>230</v>
      </c>
      <c r="D13" s="77"/>
      <c r="E13" s="78"/>
      <c r="F13" s="77" t="s">
        <v>231</v>
      </c>
      <c r="G13" s="235" t="s">
        <v>232</v>
      </c>
      <c r="H13" s="235"/>
      <c r="I13" s="235"/>
      <c r="J13" s="235"/>
      <c r="K13" s="235"/>
      <c r="L13" s="235"/>
      <c r="M13" s="235"/>
      <c r="N13" s="235"/>
      <c r="O13" s="235"/>
      <c r="P13" s="235"/>
      <c r="Q13" s="235"/>
      <c r="R13" s="235"/>
      <c r="S13" s="8"/>
    </row>
    <row r="14" spans="3:19" ht="2.25" customHeight="1" x14ac:dyDescent="0.25">
      <c r="C14" s="70"/>
      <c r="D14" s="70"/>
      <c r="E14" s="72"/>
      <c r="F14" s="70"/>
      <c r="G14" s="76"/>
      <c r="H14" s="76"/>
      <c r="I14" s="76"/>
      <c r="J14" s="76"/>
      <c r="K14" s="76"/>
      <c r="L14" s="76"/>
      <c r="M14" s="76"/>
      <c r="N14" s="76"/>
      <c r="O14" s="76"/>
      <c r="P14" s="76"/>
      <c r="Q14" s="76"/>
      <c r="R14" s="76"/>
      <c r="S14" s="8"/>
    </row>
    <row r="15" spans="3:19" ht="15" customHeight="1" x14ac:dyDescent="0.25">
      <c r="C15" s="62"/>
      <c r="D15" s="62"/>
      <c r="E15" s="65"/>
      <c r="F15" s="74" t="s">
        <v>228</v>
      </c>
      <c r="G15" s="236" t="s">
        <v>330</v>
      </c>
      <c r="H15" s="237"/>
      <c r="I15" s="237"/>
      <c r="J15" s="237"/>
      <c r="K15" s="237"/>
      <c r="L15" s="237"/>
      <c r="M15" s="237"/>
      <c r="N15" s="237"/>
      <c r="O15" s="237"/>
      <c r="P15" s="237"/>
      <c r="Q15" s="237"/>
      <c r="R15" s="237"/>
      <c r="S15" s="8"/>
    </row>
    <row r="16" spans="3:19" ht="15" customHeight="1" x14ac:dyDescent="0.25">
      <c r="C16" s="65"/>
      <c r="D16" s="65"/>
      <c r="E16" s="65"/>
      <c r="F16" s="75" t="s">
        <v>233</v>
      </c>
      <c r="G16" s="237"/>
      <c r="H16" s="237"/>
      <c r="I16" s="237"/>
      <c r="J16" s="237"/>
      <c r="K16" s="237"/>
      <c r="L16" s="237"/>
      <c r="M16" s="237"/>
      <c r="N16" s="237"/>
      <c r="O16" s="237"/>
      <c r="P16" s="237"/>
      <c r="Q16" s="237"/>
      <c r="R16" s="237"/>
      <c r="S16" s="8"/>
    </row>
    <row r="17" spans="1:19" ht="15" customHeight="1" x14ac:dyDescent="0.25">
      <c r="A17" s="64"/>
      <c r="D17" s="65"/>
      <c r="E17" s="65"/>
      <c r="F17" s="75" t="s">
        <v>234</v>
      </c>
      <c r="G17" s="69"/>
      <c r="H17" s="69"/>
      <c r="I17" s="69"/>
      <c r="J17" s="69"/>
      <c r="K17" s="69"/>
      <c r="L17" s="69"/>
      <c r="M17" s="69"/>
      <c r="N17" s="69"/>
      <c r="O17" s="69"/>
      <c r="P17" s="69"/>
      <c r="Q17" s="69"/>
      <c r="R17" s="69"/>
      <c r="S17" s="8"/>
    </row>
    <row r="18" spans="1:19" ht="15" customHeight="1" x14ac:dyDescent="0.25">
      <c r="A18" s="64"/>
      <c r="D18" s="65"/>
      <c r="E18" s="65"/>
      <c r="F18" s="75" t="s">
        <v>311</v>
      </c>
      <c r="G18" s="193"/>
      <c r="H18" s="193"/>
      <c r="I18" s="193"/>
      <c r="J18" s="193"/>
      <c r="K18" s="193"/>
      <c r="L18" s="193"/>
      <c r="M18" s="193"/>
      <c r="N18" s="193"/>
      <c r="O18" s="193"/>
      <c r="P18" s="193"/>
      <c r="Q18" s="193"/>
      <c r="R18" s="193"/>
      <c r="S18" s="192"/>
    </row>
    <row r="19" spans="1:19" ht="15" customHeight="1" x14ac:dyDescent="0.25">
      <c r="A19" s="64"/>
      <c r="D19" s="65"/>
      <c r="E19" s="65"/>
      <c r="F19" s="75" t="s">
        <v>312</v>
      </c>
      <c r="G19" s="193"/>
      <c r="H19" s="193"/>
      <c r="I19" s="193"/>
      <c r="J19" s="193"/>
      <c r="K19" s="193"/>
      <c r="L19" s="193"/>
      <c r="M19" s="193"/>
      <c r="N19" s="193"/>
      <c r="O19" s="193"/>
      <c r="P19" s="193"/>
      <c r="Q19" s="193"/>
      <c r="R19" s="193"/>
      <c r="S19" s="192"/>
    </row>
    <row r="20" spans="1:19" ht="15" customHeight="1" x14ac:dyDescent="0.25">
      <c r="A20" s="64"/>
      <c r="D20" s="65"/>
      <c r="E20" s="65"/>
      <c r="F20" s="75" t="s">
        <v>313</v>
      </c>
      <c r="G20" s="193"/>
      <c r="H20" s="193"/>
      <c r="I20" s="193"/>
      <c r="J20" s="193"/>
      <c r="K20" s="193"/>
      <c r="L20" s="193"/>
      <c r="M20" s="193"/>
      <c r="N20" s="193"/>
      <c r="O20" s="193"/>
      <c r="P20" s="193"/>
      <c r="Q20" s="193"/>
      <c r="R20" s="193"/>
      <c r="S20" s="192"/>
    </row>
    <row r="21" spans="1:19" ht="15" customHeight="1" x14ac:dyDescent="0.25">
      <c r="A21" s="64"/>
      <c r="D21" s="65"/>
      <c r="E21" s="65"/>
      <c r="F21" s="75" t="s">
        <v>314</v>
      </c>
      <c r="G21" s="193"/>
      <c r="H21" s="193"/>
      <c r="I21" s="193"/>
      <c r="J21" s="193"/>
      <c r="K21" s="193"/>
      <c r="L21" s="193"/>
      <c r="M21" s="193"/>
      <c r="N21" s="193"/>
      <c r="O21" s="193"/>
      <c r="P21" s="193"/>
      <c r="Q21" s="193"/>
      <c r="R21" s="193"/>
      <c r="S21" s="192"/>
    </row>
    <row r="22" spans="1:19" ht="6.6" customHeight="1" x14ac:dyDescent="0.25">
      <c r="C22" s="223"/>
      <c r="D22" s="223"/>
      <c r="E22" s="223"/>
      <c r="F22" s="223"/>
      <c r="G22" s="225"/>
      <c r="H22" s="225"/>
      <c r="I22" s="225"/>
      <c r="J22" s="225"/>
      <c r="K22" s="225"/>
      <c r="L22" s="225"/>
      <c r="M22" s="225"/>
      <c r="N22" s="225"/>
      <c r="O22" s="225"/>
      <c r="P22" s="225"/>
      <c r="Q22" s="225"/>
      <c r="R22" s="225"/>
      <c r="S22" s="8"/>
    </row>
    <row r="23" spans="1:19" ht="15" customHeight="1" x14ac:dyDescent="0.25">
      <c r="C23" s="66"/>
      <c r="D23" s="66"/>
      <c r="E23" s="65"/>
      <c r="F23" s="75" t="s">
        <v>229</v>
      </c>
      <c r="G23" s="236" t="s">
        <v>331</v>
      </c>
      <c r="H23" s="236"/>
      <c r="I23" s="236"/>
      <c r="J23" s="236"/>
      <c r="K23" s="236"/>
      <c r="L23" s="236"/>
      <c r="M23" s="236"/>
      <c r="N23" s="236"/>
      <c r="O23" s="236"/>
      <c r="P23" s="222"/>
      <c r="Q23" s="222"/>
      <c r="R23" s="222"/>
      <c r="S23" s="8"/>
    </row>
    <row r="24" spans="1:19" ht="15" customHeight="1" x14ac:dyDescent="0.25">
      <c r="C24" s="8"/>
      <c r="D24" s="8"/>
      <c r="E24" s="65"/>
      <c r="F24" s="75" t="s">
        <v>235</v>
      </c>
      <c r="G24" s="236"/>
      <c r="H24" s="236"/>
      <c r="I24" s="236"/>
      <c r="J24" s="236"/>
      <c r="K24" s="236"/>
      <c r="L24" s="236"/>
      <c r="M24" s="236"/>
      <c r="N24" s="236"/>
      <c r="O24" s="236"/>
      <c r="P24" s="222"/>
      <c r="Q24" s="222"/>
      <c r="R24" s="222"/>
      <c r="S24" s="8"/>
    </row>
    <row r="25" spans="1:19" ht="15" customHeight="1" x14ac:dyDescent="0.25">
      <c r="C25" s="64"/>
      <c r="D25" s="8"/>
      <c r="E25" s="65"/>
      <c r="F25" s="75" t="s">
        <v>238</v>
      </c>
      <c r="G25" s="236"/>
      <c r="H25" s="236"/>
      <c r="I25" s="236"/>
      <c r="J25" s="236"/>
      <c r="K25" s="236"/>
      <c r="L25" s="236"/>
      <c r="M25" s="236"/>
      <c r="N25" s="236"/>
      <c r="O25" s="236"/>
      <c r="P25" s="220"/>
      <c r="Q25" s="220"/>
      <c r="R25" s="220"/>
      <c r="S25" s="8"/>
    </row>
    <row r="26" spans="1:19" ht="15" customHeight="1" x14ac:dyDescent="0.25">
      <c r="C26" s="64"/>
      <c r="D26" s="83"/>
      <c r="E26" s="65"/>
      <c r="F26" s="75" t="s">
        <v>239</v>
      </c>
      <c r="G26" s="236"/>
      <c r="H26" s="236"/>
      <c r="I26" s="236"/>
      <c r="J26" s="236"/>
      <c r="K26" s="236"/>
      <c r="L26" s="236"/>
      <c r="M26" s="236"/>
      <c r="N26" s="236"/>
      <c r="O26" s="236"/>
      <c r="P26" s="84"/>
      <c r="Q26" s="84"/>
      <c r="R26" s="84"/>
      <c r="S26" s="83"/>
    </row>
    <row r="27" spans="1:19" ht="15" customHeight="1" x14ac:dyDescent="0.25">
      <c r="C27" s="64"/>
      <c r="D27" s="83"/>
      <c r="E27" s="65"/>
      <c r="F27" s="75" t="s">
        <v>240</v>
      </c>
      <c r="G27" s="84"/>
      <c r="H27" s="84"/>
      <c r="I27" s="84"/>
      <c r="J27" s="84"/>
      <c r="K27" s="84"/>
      <c r="L27" s="84"/>
      <c r="M27" s="84"/>
      <c r="N27" s="84"/>
      <c r="O27" s="84"/>
      <c r="P27" s="84"/>
      <c r="Q27" s="84"/>
      <c r="R27" s="84"/>
      <c r="S27" s="83"/>
    </row>
    <row r="28" spans="1:19" ht="6.6" customHeight="1" x14ac:dyDescent="0.25">
      <c r="C28" s="223"/>
      <c r="D28" s="223"/>
      <c r="E28" s="223"/>
      <c r="F28" s="223"/>
      <c r="G28" s="225"/>
      <c r="H28" s="225"/>
      <c r="I28" s="225"/>
      <c r="J28" s="225"/>
      <c r="K28" s="225"/>
      <c r="L28" s="225"/>
      <c r="M28" s="225"/>
      <c r="N28" s="225"/>
      <c r="O28" s="225"/>
      <c r="P28" s="225"/>
      <c r="Q28" s="225"/>
      <c r="R28" s="225"/>
      <c r="S28" s="8"/>
    </row>
    <row r="29" spans="1:19" ht="15.75" customHeight="1" x14ac:dyDescent="0.25">
      <c r="C29" s="68"/>
      <c r="D29" s="68"/>
      <c r="E29" s="65"/>
      <c r="F29" s="75" t="s">
        <v>241</v>
      </c>
      <c r="G29" s="233" t="s">
        <v>332</v>
      </c>
      <c r="H29" s="233"/>
      <c r="I29" s="233"/>
      <c r="J29" s="233"/>
      <c r="K29" s="233"/>
      <c r="L29" s="233"/>
      <c r="M29" s="233"/>
      <c r="N29" s="233"/>
      <c r="O29" s="233"/>
      <c r="P29" s="233"/>
      <c r="Q29" s="233"/>
      <c r="R29" s="233"/>
      <c r="S29" s="8"/>
    </row>
    <row r="30" spans="1:19" ht="36.75" customHeight="1" x14ac:dyDescent="0.25">
      <c r="C30" s="8"/>
      <c r="D30" s="8"/>
      <c r="E30" s="65"/>
      <c r="F30" s="8"/>
      <c r="G30" s="233"/>
      <c r="H30" s="233"/>
      <c r="I30" s="233"/>
      <c r="J30" s="233"/>
      <c r="K30" s="233"/>
      <c r="L30" s="233"/>
      <c r="M30" s="233"/>
      <c r="N30" s="233"/>
      <c r="O30" s="233"/>
      <c r="P30" s="233"/>
      <c r="Q30" s="233"/>
      <c r="R30" s="233"/>
      <c r="S30" s="8"/>
    </row>
    <row r="31" spans="1:19" ht="6.6" customHeight="1" x14ac:dyDescent="0.25">
      <c r="C31" s="223"/>
      <c r="D31" s="223"/>
      <c r="E31" s="223"/>
      <c r="F31" s="223"/>
      <c r="G31" s="224"/>
      <c r="H31" s="224"/>
      <c r="I31" s="224"/>
      <c r="J31" s="224"/>
      <c r="K31" s="224"/>
      <c r="L31" s="224"/>
      <c r="M31" s="224"/>
      <c r="N31" s="224"/>
      <c r="O31" s="224"/>
      <c r="P31" s="224"/>
      <c r="Q31" s="224"/>
      <c r="R31" s="224"/>
      <c r="S31" s="219"/>
    </row>
    <row r="32" spans="1:19" ht="15.75" customHeight="1" x14ac:dyDescent="0.25">
      <c r="C32" s="67"/>
      <c r="D32" s="67"/>
      <c r="E32" s="65"/>
      <c r="F32" s="75" t="s">
        <v>242</v>
      </c>
      <c r="G32" s="233" t="s">
        <v>237</v>
      </c>
      <c r="H32" s="233"/>
      <c r="I32" s="233"/>
      <c r="J32" s="233"/>
      <c r="K32" s="233"/>
      <c r="L32" s="233"/>
      <c r="M32" s="233"/>
      <c r="N32" s="233"/>
      <c r="O32" s="233"/>
      <c r="P32" s="233"/>
      <c r="Q32" s="233"/>
      <c r="R32" s="233"/>
      <c r="S32" s="8"/>
    </row>
    <row r="33" spans="3:19" ht="15.75" customHeight="1" x14ac:dyDescent="0.25">
      <c r="C33" s="64"/>
      <c r="D33" s="8"/>
      <c r="E33" s="65"/>
      <c r="F33" s="75" t="s">
        <v>243</v>
      </c>
      <c r="G33" s="233"/>
      <c r="H33" s="233"/>
      <c r="I33" s="233"/>
      <c r="J33" s="233"/>
      <c r="K33" s="233"/>
      <c r="L33" s="233"/>
      <c r="M33" s="233"/>
      <c r="N33" s="233"/>
      <c r="O33" s="233"/>
      <c r="P33" s="233"/>
      <c r="Q33" s="233"/>
      <c r="R33" s="233"/>
      <c r="S33" s="8"/>
    </row>
    <row r="34" spans="3:19" ht="15.75" customHeight="1" x14ac:dyDescent="0.25">
      <c r="C34" s="8"/>
      <c r="D34" s="8"/>
      <c r="E34" s="65"/>
      <c r="F34" s="8"/>
      <c r="G34" s="8"/>
      <c r="H34" s="8"/>
      <c r="I34" s="8"/>
      <c r="J34" s="8"/>
      <c r="K34" s="8"/>
      <c r="L34" s="8"/>
      <c r="M34" s="8"/>
      <c r="N34" s="8"/>
      <c r="O34" s="8"/>
      <c r="P34" s="8"/>
      <c r="Q34" s="8"/>
      <c r="R34" s="8"/>
      <c r="S34" s="8"/>
    </row>
    <row r="35" spans="3:19" x14ac:dyDescent="0.25">
      <c r="D35" s="8"/>
      <c r="E35" s="65"/>
      <c r="F35" s="8"/>
      <c r="G35" s="8"/>
      <c r="H35" s="8"/>
      <c r="I35" s="8"/>
      <c r="J35" s="8"/>
      <c r="K35" s="8"/>
      <c r="L35" s="8"/>
      <c r="M35" s="8"/>
      <c r="N35" s="8"/>
      <c r="O35" s="8"/>
      <c r="P35" s="8"/>
      <c r="Q35" s="8"/>
      <c r="R35" s="8"/>
      <c r="S35" s="8"/>
    </row>
    <row r="36" spans="3:19" x14ac:dyDescent="0.25">
      <c r="C36" s="79"/>
      <c r="D36" s="65"/>
      <c r="E36" s="65"/>
      <c r="F36" s="65"/>
      <c r="G36" s="65"/>
      <c r="H36" s="65"/>
      <c r="I36" s="65"/>
      <c r="J36" s="65"/>
      <c r="K36" s="65"/>
      <c r="L36" s="65"/>
      <c r="M36" s="65"/>
      <c r="N36" s="65"/>
      <c r="O36" s="65"/>
      <c r="P36" s="65"/>
      <c r="Q36" s="65"/>
      <c r="R36" s="65"/>
      <c r="S36" s="8"/>
    </row>
    <row r="37" spans="3:19" s="9" customFormat="1" x14ac:dyDescent="0.25">
      <c r="C37" s="80"/>
      <c r="D37" s="73"/>
      <c r="E37" s="73"/>
      <c r="F37" s="65"/>
      <c r="G37" s="81"/>
      <c r="H37" s="65"/>
      <c r="I37" s="65"/>
      <c r="J37" s="65"/>
      <c r="K37" s="65"/>
      <c r="L37" s="65"/>
      <c r="M37" s="65"/>
      <c r="N37" s="65"/>
      <c r="O37" s="65"/>
      <c r="P37" s="65"/>
      <c r="Q37" s="65"/>
      <c r="R37" s="65"/>
      <c r="S37" s="8"/>
    </row>
    <row r="38" spans="3:19" x14ac:dyDescent="0.25">
      <c r="C38" s="29"/>
      <c r="D38" s="29"/>
      <c r="F38" s="29"/>
      <c r="G38" s="29"/>
      <c r="H38" s="29"/>
      <c r="I38" s="29"/>
      <c r="J38" s="29"/>
      <c r="K38" s="29"/>
      <c r="L38" s="29"/>
      <c r="M38" s="29"/>
      <c r="N38" s="29"/>
      <c r="O38" s="29"/>
      <c r="P38" s="29"/>
      <c r="Q38" s="29"/>
      <c r="R38" s="29"/>
    </row>
    <row r="39" spans="3:19" x14ac:dyDescent="0.25">
      <c r="C39" s="29"/>
      <c r="D39" s="29"/>
      <c r="F39" s="29"/>
      <c r="G39" s="29"/>
      <c r="H39" s="29"/>
      <c r="I39" s="29"/>
      <c r="J39" s="29"/>
      <c r="K39" s="29"/>
      <c r="L39" s="29"/>
      <c r="M39" s="29"/>
      <c r="N39" s="29"/>
      <c r="O39" s="29"/>
      <c r="P39" s="29"/>
      <c r="Q39" s="29"/>
      <c r="R39" s="29"/>
    </row>
    <row r="40" spans="3:19" x14ac:dyDescent="0.25">
      <c r="C40" s="29"/>
      <c r="D40" s="29"/>
      <c r="F40" s="29"/>
      <c r="G40" s="29"/>
      <c r="H40" s="29"/>
      <c r="I40" s="29"/>
      <c r="J40" s="29"/>
      <c r="K40" s="29"/>
      <c r="L40" s="29"/>
      <c r="M40" s="29"/>
      <c r="N40" s="29"/>
      <c r="O40" s="29"/>
      <c r="P40" s="29"/>
      <c r="Q40" s="29"/>
      <c r="R40" s="29"/>
    </row>
    <row r="41" spans="3:19" x14ac:dyDescent="0.25">
      <c r="C41" s="29"/>
      <c r="D41" s="29"/>
      <c r="F41" s="29"/>
      <c r="G41" s="29"/>
      <c r="H41" s="29"/>
      <c r="I41" s="29"/>
      <c r="J41" s="29"/>
      <c r="K41" s="29"/>
      <c r="L41" s="29"/>
      <c r="M41" s="29"/>
      <c r="N41" s="29"/>
      <c r="O41" s="29"/>
      <c r="P41" s="29"/>
      <c r="Q41" s="29"/>
      <c r="R41" s="29"/>
    </row>
    <row r="42" spans="3:19" x14ac:dyDescent="0.25">
      <c r="C42" s="29"/>
      <c r="D42" s="29"/>
      <c r="F42" s="29"/>
      <c r="G42" s="82"/>
      <c r="H42" s="29"/>
      <c r="I42" s="29"/>
      <c r="J42" s="29"/>
      <c r="K42" s="29"/>
      <c r="L42" s="29"/>
      <c r="M42" s="29"/>
      <c r="N42" s="29"/>
      <c r="O42" s="29"/>
      <c r="P42" s="29"/>
      <c r="Q42" s="29"/>
      <c r="R42" s="29"/>
    </row>
  </sheetData>
  <mergeCells count="7">
    <mergeCell ref="G32:R33"/>
    <mergeCell ref="C10:R10"/>
    <mergeCell ref="C11:R11"/>
    <mergeCell ref="G13:R13"/>
    <mergeCell ref="G29:R30"/>
    <mergeCell ref="G15:R16"/>
    <mergeCell ref="G23:O26"/>
  </mergeCells>
  <hyperlinks>
    <hyperlink ref="F15" location="'Fuel Prices excl. VAT'!A1" display="Fuel Prices excl. VAT"/>
    <hyperlink ref="F16" location="'Appliance Prices'!A1" display=" Appliance Prices"/>
    <hyperlink ref="F17" location="'Utilisation by Sector'!A1" display="Utilisation by Sector"/>
    <hyperlink ref="F23" location="'UCM Residential'!A1" display="UCM Residential"/>
    <hyperlink ref="F24" location="'UCM Services Protected'!A1" display="UCM Services Protected"/>
    <hyperlink ref="F25" location="'UCM Services Non-Protected '!A1" display="UCM Services Non-Protected "/>
    <hyperlink ref="F26" location="'UCM Power'!A1" display="UCM Power"/>
    <hyperlink ref="F27" location="'fuel UCM Industrial'!A1" display="fuel UCM Industrial"/>
    <hyperlink ref="F29" location="'feedstock UCM Industrial'!A1" display="feedstock UCM Industrial"/>
    <hyperlink ref="F32" location="'fuel UCM Sectors and MS'!A1" display="fuel UCM Sectors and MS"/>
    <hyperlink ref="F33" location="'Total UCM Sectors and MS '!A1" display="Total UCM Sectors and MS"/>
    <hyperlink ref="F18" location="'W.F. at Appliance Level'!A1" display="W.F. at Appliance Level"/>
    <hyperlink ref="F19" location="'W.F. End-use Level'!A1" display="W.F. End-use Level"/>
    <hyperlink ref="F20" location="'W.F. at Subsector Level'!A1" display="W.F. at Subsector Level"/>
    <hyperlink ref="F21" location="'W.F. at Sector Level'!A1" display="W.F. at Sector Level"/>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U31"/>
  <sheetViews>
    <sheetView showGridLines="0" zoomScale="60" zoomScaleNormal="60" workbookViewId="0">
      <pane xSplit="1" topLeftCell="B1" activePane="topRight" state="frozen"/>
      <selection activeCell="A6" sqref="A6"/>
      <selection pane="topRight" activeCell="O42" sqref="O42"/>
    </sheetView>
  </sheetViews>
  <sheetFormatPr defaultRowHeight="18.75" x14ac:dyDescent="0.3"/>
  <cols>
    <col min="1" max="120" width="20.7109375" style="146" customWidth="1"/>
    <col min="121" max="121" width="20.7109375" style="116" customWidth="1"/>
    <col min="122" max="16384" width="9.140625" style="146"/>
  </cols>
  <sheetData>
    <row r="1" spans="1:125" ht="30" customHeight="1" x14ac:dyDescent="0.3">
      <c r="A1" s="231"/>
      <c r="B1" s="242" t="s">
        <v>56</v>
      </c>
      <c r="C1" s="242"/>
      <c r="D1" s="242"/>
      <c r="E1" s="242"/>
      <c r="F1" s="242"/>
      <c r="G1" s="242"/>
      <c r="H1" s="242"/>
      <c r="I1" s="242" t="s">
        <v>59</v>
      </c>
      <c r="J1" s="242"/>
      <c r="K1" s="242"/>
      <c r="L1" s="242"/>
      <c r="M1" s="242" t="s">
        <v>60</v>
      </c>
      <c r="N1" s="242"/>
      <c r="O1" s="242"/>
      <c r="P1" s="242" t="s">
        <v>89</v>
      </c>
      <c r="Q1" s="242"/>
      <c r="R1" s="242"/>
      <c r="S1" s="242"/>
      <c r="T1" s="242"/>
      <c r="U1" s="242"/>
      <c r="V1" s="242"/>
      <c r="W1" s="242" t="s">
        <v>170</v>
      </c>
      <c r="X1" s="242"/>
      <c r="Y1" s="242"/>
      <c r="Z1" s="242"/>
      <c r="AA1" s="242"/>
      <c r="AB1" s="242"/>
      <c r="AC1" s="242"/>
      <c r="AD1" s="242" t="s">
        <v>171</v>
      </c>
      <c r="AE1" s="242"/>
      <c r="AF1" s="242"/>
      <c r="AG1" s="242" t="s">
        <v>31</v>
      </c>
      <c r="AH1" s="242" t="s">
        <v>173</v>
      </c>
      <c r="AI1" s="242"/>
      <c r="AJ1" s="242"/>
      <c r="AK1" s="242"/>
      <c r="AL1" s="242"/>
      <c r="AM1" s="242"/>
      <c r="AN1" s="242"/>
      <c r="AO1" s="242" t="s">
        <v>174</v>
      </c>
      <c r="AP1" s="242"/>
      <c r="AQ1" s="242"/>
      <c r="AR1" s="242"/>
      <c r="AS1" s="242"/>
      <c r="AT1" s="242"/>
      <c r="AU1" s="242"/>
      <c r="AV1" s="242" t="s">
        <v>175</v>
      </c>
      <c r="AW1" s="242"/>
      <c r="AX1" s="242"/>
      <c r="AY1" s="242" t="s">
        <v>32</v>
      </c>
      <c r="AZ1" s="242" t="s">
        <v>177</v>
      </c>
      <c r="BA1" s="242"/>
      <c r="BB1" s="242"/>
      <c r="BC1" s="242"/>
      <c r="BD1" s="242"/>
      <c r="BE1" s="242"/>
      <c r="BF1" s="242"/>
      <c r="BG1" s="242" t="s">
        <v>178</v>
      </c>
      <c r="BH1" s="242"/>
      <c r="BI1" s="242"/>
      <c r="BJ1" s="242"/>
      <c r="BK1" s="242"/>
      <c r="BL1" s="242"/>
      <c r="BM1" s="242"/>
      <c r="BN1" s="242" t="s">
        <v>179</v>
      </c>
      <c r="BO1" s="242"/>
      <c r="BP1" s="242"/>
      <c r="BQ1" s="242" t="s">
        <v>33</v>
      </c>
      <c r="BR1" s="242" t="s">
        <v>181</v>
      </c>
      <c r="BS1" s="242"/>
      <c r="BT1" s="242"/>
      <c r="BU1" s="242"/>
      <c r="BV1" s="242"/>
      <c r="BW1" s="242"/>
      <c r="BX1" s="242"/>
      <c r="BY1" s="242" t="s">
        <v>182</v>
      </c>
      <c r="BZ1" s="242"/>
      <c r="CA1" s="242"/>
      <c r="CB1" s="242"/>
      <c r="CC1" s="242"/>
      <c r="CD1" s="242"/>
      <c r="CE1" s="242"/>
      <c r="CF1" s="242" t="s">
        <v>183</v>
      </c>
      <c r="CG1" s="242"/>
      <c r="CH1" s="242"/>
      <c r="CI1" s="242" t="s">
        <v>34</v>
      </c>
      <c r="CJ1" s="242" t="s">
        <v>185</v>
      </c>
      <c r="CK1" s="242"/>
      <c r="CL1" s="242"/>
      <c r="CM1" s="242"/>
      <c r="CN1" s="242"/>
      <c r="CO1" s="242"/>
      <c r="CP1" s="242"/>
      <c r="CQ1" s="242" t="s">
        <v>186</v>
      </c>
      <c r="CR1" s="242"/>
      <c r="CS1" s="242"/>
      <c r="CT1" s="242"/>
      <c r="CU1" s="242"/>
      <c r="CV1" s="242"/>
      <c r="CW1" s="242"/>
      <c r="CX1" s="242" t="s">
        <v>187</v>
      </c>
      <c r="CY1" s="242"/>
      <c r="CZ1" s="242"/>
      <c r="DA1" s="242" t="s">
        <v>35</v>
      </c>
      <c r="DB1" s="242" t="s">
        <v>189</v>
      </c>
      <c r="DC1" s="242"/>
      <c r="DD1" s="242"/>
      <c r="DE1" s="242"/>
      <c r="DF1" s="242"/>
      <c r="DG1" s="242"/>
      <c r="DH1" s="242" t="s">
        <v>190</v>
      </c>
      <c r="DI1" s="242"/>
      <c r="DJ1" s="242"/>
      <c r="DK1" s="242"/>
      <c r="DL1" s="242"/>
      <c r="DM1" s="242"/>
      <c r="DN1" s="242" t="s">
        <v>191</v>
      </c>
      <c r="DO1" s="242"/>
      <c r="DP1" s="242" t="s">
        <v>36</v>
      </c>
      <c r="DQ1" s="242" t="s">
        <v>194</v>
      </c>
      <c r="DR1" s="114"/>
      <c r="DS1" s="114"/>
      <c r="DT1" s="114"/>
      <c r="DU1" s="114"/>
    </row>
    <row r="2" spans="1:125" ht="30" customHeight="1" x14ac:dyDescent="0.3">
      <c r="A2" s="232"/>
      <c r="B2" s="229" t="s">
        <v>48</v>
      </c>
      <c r="C2" s="229" t="s">
        <v>57</v>
      </c>
      <c r="D2" s="242" t="s">
        <v>58</v>
      </c>
      <c r="E2" s="242"/>
      <c r="F2" s="242"/>
      <c r="G2" s="242"/>
      <c r="H2" s="242"/>
      <c r="I2" s="242"/>
      <c r="J2" s="242"/>
      <c r="K2" s="242"/>
      <c r="L2" s="242"/>
      <c r="M2" s="242"/>
      <c r="N2" s="242"/>
      <c r="O2" s="242"/>
      <c r="P2" s="229" t="s">
        <v>48</v>
      </c>
      <c r="Q2" s="17" t="s">
        <v>57</v>
      </c>
      <c r="R2" s="242" t="s">
        <v>58</v>
      </c>
      <c r="S2" s="242"/>
      <c r="T2" s="242"/>
      <c r="U2" s="242"/>
      <c r="V2" s="242"/>
      <c r="W2" s="17" t="s">
        <v>48</v>
      </c>
      <c r="X2" s="17" t="s">
        <v>57</v>
      </c>
      <c r="Y2" s="242" t="s">
        <v>58</v>
      </c>
      <c r="Z2" s="242"/>
      <c r="AA2" s="242"/>
      <c r="AB2" s="242"/>
      <c r="AC2" s="242"/>
      <c r="AD2" s="242"/>
      <c r="AE2" s="242"/>
      <c r="AF2" s="242"/>
      <c r="AG2" s="242"/>
      <c r="AH2" s="229" t="s">
        <v>48</v>
      </c>
      <c r="AI2" s="17" t="s">
        <v>57</v>
      </c>
      <c r="AJ2" s="242" t="s">
        <v>58</v>
      </c>
      <c r="AK2" s="242"/>
      <c r="AL2" s="242"/>
      <c r="AM2" s="242"/>
      <c r="AN2" s="242"/>
      <c r="AO2" s="17" t="s">
        <v>48</v>
      </c>
      <c r="AP2" s="17" t="s">
        <v>57</v>
      </c>
      <c r="AQ2" s="242" t="s">
        <v>58</v>
      </c>
      <c r="AR2" s="242"/>
      <c r="AS2" s="242"/>
      <c r="AT2" s="242"/>
      <c r="AU2" s="242"/>
      <c r="AV2" s="242"/>
      <c r="AW2" s="242"/>
      <c r="AX2" s="242"/>
      <c r="AY2" s="242"/>
      <c r="AZ2" s="229" t="s">
        <v>48</v>
      </c>
      <c r="BA2" s="17" t="s">
        <v>57</v>
      </c>
      <c r="BB2" s="242" t="s">
        <v>58</v>
      </c>
      <c r="BC2" s="242"/>
      <c r="BD2" s="242"/>
      <c r="BE2" s="242"/>
      <c r="BF2" s="242"/>
      <c r="BG2" s="17" t="s">
        <v>48</v>
      </c>
      <c r="BH2" s="17" t="s">
        <v>57</v>
      </c>
      <c r="BI2" s="242" t="s">
        <v>58</v>
      </c>
      <c r="BJ2" s="242"/>
      <c r="BK2" s="242"/>
      <c r="BL2" s="242"/>
      <c r="BM2" s="242"/>
      <c r="BN2" s="242"/>
      <c r="BO2" s="242"/>
      <c r="BP2" s="242"/>
      <c r="BQ2" s="242" t="s">
        <v>33</v>
      </c>
      <c r="BR2" s="229" t="s">
        <v>48</v>
      </c>
      <c r="BS2" s="17" t="s">
        <v>57</v>
      </c>
      <c r="BT2" s="242" t="s">
        <v>58</v>
      </c>
      <c r="BU2" s="242"/>
      <c r="BV2" s="242"/>
      <c r="BW2" s="242"/>
      <c r="BX2" s="242"/>
      <c r="BY2" s="17" t="s">
        <v>48</v>
      </c>
      <c r="BZ2" s="17" t="s">
        <v>57</v>
      </c>
      <c r="CA2" s="242" t="s">
        <v>58</v>
      </c>
      <c r="CB2" s="242"/>
      <c r="CC2" s="242"/>
      <c r="CD2" s="242"/>
      <c r="CE2" s="242"/>
      <c r="CF2" s="242"/>
      <c r="CG2" s="242"/>
      <c r="CH2" s="242"/>
      <c r="CI2" s="242"/>
      <c r="CJ2" s="229" t="s">
        <v>48</v>
      </c>
      <c r="CK2" s="17" t="s">
        <v>57</v>
      </c>
      <c r="CL2" s="242" t="s">
        <v>58</v>
      </c>
      <c r="CM2" s="242"/>
      <c r="CN2" s="242"/>
      <c r="CO2" s="242"/>
      <c r="CP2" s="242"/>
      <c r="CQ2" s="17" t="s">
        <v>48</v>
      </c>
      <c r="CR2" s="17" t="s">
        <v>57</v>
      </c>
      <c r="CS2" s="242" t="s">
        <v>58</v>
      </c>
      <c r="CT2" s="242"/>
      <c r="CU2" s="242"/>
      <c r="CV2" s="242"/>
      <c r="CW2" s="242"/>
      <c r="CX2" s="242"/>
      <c r="CY2" s="242"/>
      <c r="CZ2" s="242"/>
      <c r="DA2" s="242" t="s">
        <v>35</v>
      </c>
      <c r="DB2" s="17" t="s">
        <v>57</v>
      </c>
      <c r="DC2" s="242" t="s">
        <v>58</v>
      </c>
      <c r="DD2" s="242"/>
      <c r="DE2" s="242"/>
      <c r="DF2" s="242"/>
      <c r="DG2" s="242"/>
      <c r="DH2" s="17" t="s">
        <v>57</v>
      </c>
      <c r="DI2" s="242" t="s">
        <v>58</v>
      </c>
      <c r="DJ2" s="242"/>
      <c r="DK2" s="242"/>
      <c r="DL2" s="242"/>
      <c r="DM2" s="242"/>
      <c r="DN2" s="242"/>
      <c r="DO2" s="242"/>
      <c r="DP2" s="242"/>
      <c r="DQ2" s="242"/>
      <c r="DR2" s="114"/>
      <c r="DS2" s="114"/>
      <c r="DT2" s="114"/>
      <c r="DU2" s="114"/>
    </row>
    <row r="3" spans="1:125" ht="75" x14ac:dyDescent="0.3">
      <c r="A3" s="230" t="s">
        <v>29</v>
      </c>
      <c r="B3" s="228" t="s">
        <v>304</v>
      </c>
      <c r="C3" s="228" t="s">
        <v>51</v>
      </c>
      <c r="D3" s="228" t="s">
        <v>49</v>
      </c>
      <c r="E3" s="228" t="s">
        <v>50</v>
      </c>
      <c r="F3" s="228" t="s">
        <v>52</v>
      </c>
      <c r="G3" s="228" t="s">
        <v>53</v>
      </c>
      <c r="H3" s="228" t="s">
        <v>54</v>
      </c>
      <c r="I3" s="228" t="s">
        <v>104</v>
      </c>
      <c r="J3" s="228" t="s">
        <v>105</v>
      </c>
      <c r="K3" s="228" t="s">
        <v>106</v>
      </c>
      <c r="L3" s="228" t="s">
        <v>107</v>
      </c>
      <c r="M3" s="228" t="s">
        <v>69</v>
      </c>
      <c r="N3" s="228" t="s">
        <v>70</v>
      </c>
      <c r="O3" s="228" t="s">
        <v>71</v>
      </c>
      <c r="P3" s="228" t="s">
        <v>62</v>
      </c>
      <c r="Q3" s="228" t="s">
        <v>63</v>
      </c>
      <c r="R3" s="228" t="s">
        <v>64</v>
      </c>
      <c r="S3" s="228" t="s">
        <v>65</v>
      </c>
      <c r="T3" s="228" t="s">
        <v>66</v>
      </c>
      <c r="U3" s="228" t="s">
        <v>67</v>
      </c>
      <c r="V3" s="228" t="s">
        <v>68</v>
      </c>
      <c r="W3" s="228" t="s">
        <v>72</v>
      </c>
      <c r="X3" s="228" t="s">
        <v>73</v>
      </c>
      <c r="Y3" s="228" t="s">
        <v>74</v>
      </c>
      <c r="Z3" s="228" t="s">
        <v>75</v>
      </c>
      <c r="AA3" s="228" t="s">
        <v>76</v>
      </c>
      <c r="AB3" s="228" t="s">
        <v>116</v>
      </c>
      <c r="AC3" s="228" t="s">
        <v>78</v>
      </c>
      <c r="AD3" s="228" t="s">
        <v>109</v>
      </c>
      <c r="AE3" s="228" t="s">
        <v>110</v>
      </c>
      <c r="AF3" s="228" t="s">
        <v>111</v>
      </c>
      <c r="AG3" s="228" t="s">
        <v>115</v>
      </c>
      <c r="AH3" s="228" t="s">
        <v>62</v>
      </c>
      <c r="AI3" s="228" t="s">
        <v>63</v>
      </c>
      <c r="AJ3" s="228" t="s">
        <v>64</v>
      </c>
      <c r="AK3" s="228" t="s">
        <v>65</v>
      </c>
      <c r="AL3" s="228" t="s">
        <v>118</v>
      </c>
      <c r="AM3" s="228" t="s">
        <v>67</v>
      </c>
      <c r="AN3" s="228" t="s">
        <v>68</v>
      </c>
      <c r="AO3" s="228" t="s">
        <v>72</v>
      </c>
      <c r="AP3" s="228" t="s">
        <v>73</v>
      </c>
      <c r="AQ3" s="228" t="s">
        <v>74</v>
      </c>
      <c r="AR3" s="228" t="s">
        <v>75</v>
      </c>
      <c r="AS3" s="228" t="s">
        <v>76</v>
      </c>
      <c r="AT3" s="228" t="s">
        <v>116</v>
      </c>
      <c r="AU3" s="228" t="s">
        <v>78</v>
      </c>
      <c r="AV3" s="228" t="s">
        <v>109</v>
      </c>
      <c r="AW3" s="228" t="s">
        <v>110</v>
      </c>
      <c r="AX3" s="228" t="s">
        <v>111</v>
      </c>
      <c r="AY3" s="228" t="s">
        <v>115</v>
      </c>
      <c r="AZ3" s="228" t="s">
        <v>62</v>
      </c>
      <c r="BA3" s="228" t="s">
        <v>63</v>
      </c>
      <c r="BB3" s="228" t="s">
        <v>64</v>
      </c>
      <c r="BC3" s="228" t="s">
        <v>65</v>
      </c>
      <c r="BD3" s="228" t="s">
        <v>66</v>
      </c>
      <c r="BE3" s="228" t="s">
        <v>67</v>
      </c>
      <c r="BF3" s="228" t="s">
        <v>68</v>
      </c>
      <c r="BG3" s="228" t="s">
        <v>72</v>
      </c>
      <c r="BH3" s="228" t="s">
        <v>73</v>
      </c>
      <c r="BI3" s="228" t="s">
        <v>74</v>
      </c>
      <c r="BJ3" s="228" t="s">
        <v>75</v>
      </c>
      <c r="BK3" s="228" t="s">
        <v>76</v>
      </c>
      <c r="BL3" s="228" t="s">
        <v>116</v>
      </c>
      <c r="BM3" s="228" t="s">
        <v>78</v>
      </c>
      <c r="BN3" s="228" t="s">
        <v>109</v>
      </c>
      <c r="BO3" s="228" t="s">
        <v>110</v>
      </c>
      <c r="BP3" s="228" t="s">
        <v>111</v>
      </c>
      <c r="BQ3" s="228" t="s">
        <v>115</v>
      </c>
      <c r="BR3" s="228" t="s">
        <v>62</v>
      </c>
      <c r="BS3" s="228" t="s">
        <v>63</v>
      </c>
      <c r="BT3" s="228" t="s">
        <v>64</v>
      </c>
      <c r="BU3" s="228" t="s">
        <v>65</v>
      </c>
      <c r="BV3" s="228" t="s">
        <v>66</v>
      </c>
      <c r="BW3" s="228" t="s">
        <v>67</v>
      </c>
      <c r="BX3" s="228" t="s">
        <v>68</v>
      </c>
      <c r="BY3" s="228" t="s">
        <v>72</v>
      </c>
      <c r="BZ3" s="228" t="s">
        <v>73</v>
      </c>
      <c r="CA3" s="228" t="s">
        <v>74</v>
      </c>
      <c r="CB3" s="228" t="s">
        <v>75</v>
      </c>
      <c r="CC3" s="228" t="s">
        <v>76</v>
      </c>
      <c r="CD3" s="228" t="s">
        <v>116</v>
      </c>
      <c r="CE3" s="228" t="s">
        <v>78</v>
      </c>
      <c r="CF3" s="228" t="s">
        <v>109</v>
      </c>
      <c r="CG3" s="228" t="s">
        <v>110</v>
      </c>
      <c r="CH3" s="228" t="s">
        <v>119</v>
      </c>
      <c r="CI3" s="228" t="s">
        <v>115</v>
      </c>
      <c r="CJ3" s="228" t="s">
        <v>62</v>
      </c>
      <c r="CK3" s="228" t="s">
        <v>63</v>
      </c>
      <c r="CL3" s="228" t="s">
        <v>64</v>
      </c>
      <c r="CM3" s="228" t="s">
        <v>65</v>
      </c>
      <c r="CN3" s="228" t="s">
        <v>66</v>
      </c>
      <c r="CO3" s="228" t="s">
        <v>67</v>
      </c>
      <c r="CP3" s="228" t="s">
        <v>68</v>
      </c>
      <c r="CQ3" s="228" t="s">
        <v>72</v>
      </c>
      <c r="CR3" s="228" t="s">
        <v>73</v>
      </c>
      <c r="CS3" s="228" t="s">
        <v>74</v>
      </c>
      <c r="CT3" s="228" t="s">
        <v>75</v>
      </c>
      <c r="CU3" s="228" t="s">
        <v>76</v>
      </c>
      <c r="CV3" s="228" t="s">
        <v>116</v>
      </c>
      <c r="CW3" s="228" t="s">
        <v>78</v>
      </c>
      <c r="CX3" s="228" t="s">
        <v>109</v>
      </c>
      <c r="CY3" s="228" t="s">
        <v>110</v>
      </c>
      <c r="CZ3" s="228" t="s">
        <v>111</v>
      </c>
      <c r="DA3" s="228" t="s">
        <v>115</v>
      </c>
      <c r="DB3" s="228" t="s">
        <v>63</v>
      </c>
      <c r="DC3" s="228" t="s">
        <v>64</v>
      </c>
      <c r="DD3" s="228" t="s">
        <v>65</v>
      </c>
      <c r="DE3" s="228" t="s">
        <v>123</v>
      </c>
      <c r="DF3" s="228" t="s">
        <v>67</v>
      </c>
      <c r="DG3" s="228" t="s">
        <v>68</v>
      </c>
      <c r="DH3" s="228" t="s">
        <v>73</v>
      </c>
      <c r="DI3" s="228" t="s">
        <v>74</v>
      </c>
      <c r="DJ3" s="228" t="s">
        <v>75</v>
      </c>
      <c r="DK3" s="228" t="s">
        <v>76</v>
      </c>
      <c r="DL3" s="228" t="s">
        <v>116</v>
      </c>
      <c r="DM3" s="228" t="s">
        <v>78</v>
      </c>
      <c r="DN3" s="228" t="s">
        <v>124</v>
      </c>
      <c r="DO3" s="228" t="s">
        <v>125</v>
      </c>
      <c r="DP3" s="228" t="s">
        <v>115</v>
      </c>
      <c r="DQ3" s="228" t="s">
        <v>193</v>
      </c>
      <c r="DR3" s="114"/>
      <c r="DS3" s="114"/>
      <c r="DT3" s="114"/>
      <c r="DU3" s="114"/>
    </row>
    <row r="4" spans="1:125" ht="15.75" customHeight="1" x14ac:dyDescent="0.3">
      <c r="A4" s="54" t="s">
        <v>2</v>
      </c>
      <c r="B4" s="166">
        <f>'Appliance Prices'!B4</f>
        <v>208043.21053758834</v>
      </c>
      <c r="C4" s="166">
        <f>'Appliance Prices'!C4</f>
        <v>78066.666666666672</v>
      </c>
      <c r="D4" s="166">
        <f>'Appliance Prices'!D4</f>
        <v>132372.20082477437</v>
      </c>
      <c r="E4" s="166">
        <f>'Appliance Prices'!E4</f>
        <v>47730</v>
      </c>
      <c r="F4" s="166">
        <f>'Appliance Prices'!F4</f>
        <v>256139.00704018777</v>
      </c>
      <c r="G4" s="166">
        <f>'Appliance Prices'!G4</f>
        <v>21336.811625874125</v>
      </c>
      <c r="H4" s="166">
        <f>'Appliance Prices'!H4</f>
        <v>105171.75608498839</v>
      </c>
      <c r="I4" s="166">
        <f>'Fuel Prices excl. VAT'!B3</f>
        <v>6.4699999999999994E-2</v>
      </c>
      <c r="J4" s="166">
        <f>'Fuel Prices excl. VAT'!D3</f>
        <v>0.24390000000000001</v>
      </c>
      <c r="K4" s="166">
        <f>'Fuel Prices excl. VAT'!F3</f>
        <v>0.14168654747834541</v>
      </c>
      <c r="L4" s="166">
        <f>'Fuel Prices excl. VAT'!H3</f>
        <v>4.4999999999999998E-2</v>
      </c>
      <c r="M4" s="166">
        <f t="shared" ref="M4:M29" si="0">J4-I4</f>
        <v>0.17920000000000003</v>
      </c>
      <c r="N4" s="166">
        <f t="shared" ref="N4:N29" si="1">K4-I4</f>
        <v>7.6986547478345421E-2</v>
      </c>
      <c r="O4" s="166">
        <f t="shared" ref="O4:O29" si="2">L4-I4</f>
        <v>-1.9699999999999995E-2</v>
      </c>
      <c r="P4" s="166">
        <f>B4/'Utilisation by Sector'!$K$9</f>
        <v>14.288682042416781</v>
      </c>
      <c r="Q4" s="166">
        <f>C4/'Utilisation by Sector'!$L$9</f>
        <v>0.89362026862026867</v>
      </c>
      <c r="R4" s="166">
        <f>D4/'Utilisation by Sector'!$M$9</f>
        <v>1.5152495515656406</v>
      </c>
      <c r="S4" s="166">
        <f>E4/'Utilisation by Sector'!$N$9</f>
        <v>1.1937274909963986</v>
      </c>
      <c r="T4" s="166">
        <f>F4/'Utilisation by Sector'!$O$9</f>
        <v>2.9894842091525184</v>
      </c>
      <c r="U4" s="166">
        <f>G4/'Utilisation by Sector'!$P$9</f>
        <v>0.18677181045057883</v>
      </c>
      <c r="V4" s="166">
        <f>H4/'Utilisation by Sector'!$Q$9</f>
        <v>0.92062111418932413</v>
      </c>
      <c r="W4" s="138">
        <f t="shared" ref="W4:W29" si="3">P4+M4*1000</f>
        <v>193.4886820424168</v>
      </c>
      <c r="X4" s="138">
        <f t="shared" ref="X4:X29" si="4">Q4+M4*1000</f>
        <v>180.0936202686203</v>
      </c>
      <c r="Y4" s="138">
        <f t="shared" ref="Y4:Y29" si="5">R4+M4*1000</f>
        <v>180.71524955156565</v>
      </c>
      <c r="Z4" s="138">
        <f t="shared" ref="Z4:Z29" si="6">S4+M4*1000</f>
        <v>180.39372749099641</v>
      </c>
      <c r="AA4" s="138">
        <f t="shared" ref="AA4:AA29" si="7">T4+M4*1000</f>
        <v>182.18948420915254</v>
      </c>
      <c r="AB4" s="138">
        <f t="shared" ref="AB4:AB29" si="8">U4+N4*1000</f>
        <v>77.173319288795994</v>
      </c>
      <c r="AC4" s="138">
        <f t="shared" ref="AC4:AC29" si="9">V4+O4*1000</f>
        <v>-18.779378885810672</v>
      </c>
      <c r="AD4" s="138">
        <f>W4*'W.F. at Appliance Level'!I4</f>
        <v>193.4886820424168</v>
      </c>
      <c r="AE4" s="138">
        <f>X4*'W.F. at Appliance Level'!J4</f>
        <v>180.0936202686203</v>
      </c>
      <c r="AF4" s="138">
        <f>Y4*'W.F. at Appliance Level'!K4+'UCM Services Protected'!Z4*'W.F. at Appliance Level'!L4+'UCM Services Protected'!AA4*'W.F. at Appliance Level'!M4+'UCM Services Protected'!AB4*'W.F. at Appliance Level'!N4+'UCM Services Protected'!AC4*'W.F. at Appliance Level'!O4</f>
        <v>120.33848033093999</v>
      </c>
      <c r="AG4" s="138">
        <f>AD4*'W.F. End-use Level'!E5+'UCM Services Protected'!AE4*'W.F. End-use Level'!F5+'UCM Services Protected'!AF4*'W.F. End-use Level'!G5</f>
        <v>142.47162204455395</v>
      </c>
      <c r="AH4" s="166">
        <f>B4/'Utilisation by Sector'!$K$15</f>
        <v>36.498808866243571</v>
      </c>
      <c r="AI4" s="166">
        <f>C4/'Utilisation by Sector'!$L$15</f>
        <v>5.1359649122807021</v>
      </c>
      <c r="AJ4" s="166">
        <f>D4/'Utilisation by Sector'!$M$15</f>
        <v>9.7332500606451742</v>
      </c>
      <c r="AK4" s="166">
        <f>E4/'Utilisation by Sector'!$N$15</f>
        <v>5.0136554621848743</v>
      </c>
      <c r="AL4" s="166">
        <f>F4/'Utilisation by Sector'!$O$15</f>
        <v>12.555833678440576</v>
      </c>
      <c r="AM4" s="166">
        <f>G4/'Utilisation by Sector'!$P$15</f>
        <v>0.78444160389243101</v>
      </c>
      <c r="AN4" s="166">
        <f>H4/'Utilisation by Sector'!$Q$15</f>
        <v>3.8666086795951613</v>
      </c>
      <c r="AO4" s="138">
        <f t="shared" ref="AO4:AO29" si="10">AH4+M4*1000</f>
        <v>215.69880886624358</v>
      </c>
      <c r="AP4" s="138">
        <f t="shared" ref="AP4:AP29" si="11">AI4+M4*1000</f>
        <v>184.33596491228073</v>
      </c>
      <c r="AQ4" s="138">
        <f t="shared" ref="AQ4:AQ29" si="12">AJ4+M4*1000</f>
        <v>188.93325006064518</v>
      </c>
      <c r="AR4" s="138">
        <f t="shared" ref="AR4:AR29" si="13">AK4+M4*1000</f>
        <v>184.2136554621849</v>
      </c>
      <c r="AS4" s="138">
        <f t="shared" ref="AS4:AS29" si="14">AL4+M4*1000</f>
        <v>191.75583367844058</v>
      </c>
      <c r="AT4" s="138">
        <f t="shared" ref="AT4:AT29" si="15">AM4+N4*1000</f>
        <v>77.770989082237847</v>
      </c>
      <c r="AU4" s="138">
        <f t="shared" ref="AU4:AU29" si="16">AN4+O4*1000</f>
        <v>-15.833391320404834</v>
      </c>
      <c r="AV4" s="138">
        <f>AO4*'W.F. at Appliance Level'!I4</f>
        <v>215.69880886624358</v>
      </c>
      <c r="AW4" s="138">
        <f>AP4*'W.F. at Appliance Level'!J4</f>
        <v>184.33596491228073</v>
      </c>
      <c r="AX4" s="138">
        <f>AQ4*'W.F. at Appliance Level'!K4+'UCM Services Protected'!AR4*'W.F. at Appliance Level'!L4+'UCM Services Protected'!AS4*'W.F. at Appliance Level'!M4+'UCM Services Protected'!AT4*'W.F. at Appliance Level'!N4+'UCM Services Protected'!AU4*'W.F. at Appliance Level'!O4</f>
        <v>125.36806739262074</v>
      </c>
      <c r="AY4" s="138">
        <f>AV4*'W.F. End-use Level'!H5+'UCM Services Protected'!AW4*'W.F. End-use Level'!I5+'UCM Services Protected'!AX4*'W.F. End-use Level'!J5</f>
        <v>149.28006755937452</v>
      </c>
      <c r="AZ4" s="166">
        <f>B4/'Utilisation by Sector'!$K$21</f>
        <v>57.154728169667123</v>
      </c>
      <c r="BA4" s="166">
        <f>C4/'Utilisation by Sector'!$L$21</f>
        <v>0.89362026862026867</v>
      </c>
      <c r="BB4" s="166">
        <f>D4/'Utilisation by Sector'!$M$21</f>
        <v>1.5152495515656406</v>
      </c>
      <c r="BC4" s="166">
        <f>E4/'Utilisation by Sector'!$N$21</f>
        <v>1.1937274909963986</v>
      </c>
      <c r="BD4" s="166">
        <f>F4/'Utilisation by Sector'!$O$21</f>
        <v>2.9894842091525184</v>
      </c>
      <c r="BE4" s="166">
        <f>G4/'Utilisation by Sector'!$P$21</f>
        <v>0.18677181045057883</v>
      </c>
      <c r="BF4" s="166">
        <f>H4/'Utilisation by Sector'!$Q$21</f>
        <v>0.92062111418932413</v>
      </c>
      <c r="BG4" s="138">
        <f t="shared" ref="BG4:BG29" si="17">AZ4+M4*1000</f>
        <v>236.35472816966714</v>
      </c>
      <c r="BH4" s="138">
        <f t="shared" ref="BH4:BH29" si="18">BA4+M4*1000</f>
        <v>180.0936202686203</v>
      </c>
      <c r="BI4" s="138">
        <f t="shared" ref="BI4:BI29" si="19">BB4+M4*1000</f>
        <v>180.71524955156565</v>
      </c>
      <c r="BJ4" s="138">
        <f t="shared" ref="BJ4:BJ29" si="20">BC4+M4*1000</f>
        <v>180.39372749099641</v>
      </c>
      <c r="BK4" s="138">
        <f t="shared" ref="BK4:BK29" si="21">BD4+M4*1000</f>
        <v>182.18948420915254</v>
      </c>
      <c r="BL4" s="138">
        <f t="shared" ref="BL4:BL29" si="22">BE4+N4*1000</f>
        <v>77.173319288795994</v>
      </c>
      <c r="BM4" s="138">
        <f t="shared" ref="BM4:BM29" si="23">BF4+O4*1000</f>
        <v>-18.779378885810672</v>
      </c>
      <c r="BN4" s="138">
        <f>BG4*'W.F. at Appliance Level'!I4</f>
        <v>236.35472816966714</v>
      </c>
      <c r="BO4" s="138">
        <f>BH4*'W.F. at Appliance Level'!J4</f>
        <v>180.0936202686203</v>
      </c>
      <c r="BP4" s="138">
        <f>BI4*'W.F. at Appliance Level'!K4+'UCM Services Protected'!BJ4*'W.F. at Appliance Level'!L4+'UCM Services Protected'!BK4*'W.F. at Appliance Level'!M4+'UCM Services Protected'!BL4*'W.F. at Appliance Level'!N4+'UCM Services Protected'!BM4*'W.F. at Appliance Level'!O4</f>
        <v>120.33848033093999</v>
      </c>
      <c r="BQ4" s="138">
        <f>BN4*'W.F. End-use Level'!K5+'UCM Services Protected'!BO4*'W.F. End-use Level'!L5+'UCM Services Protected'!BP4*'W.F. End-use Level'!M5</f>
        <v>147.36309011196806</v>
      </c>
      <c r="BR4" s="166">
        <f>B4/'Utilisation by Sector'!$K$27</f>
        <v>57.154728169667123</v>
      </c>
      <c r="BS4" s="166">
        <f>C4/'Utilisation by Sector'!$L$27</f>
        <v>0.89362026862026867</v>
      </c>
      <c r="BT4" s="166">
        <f>D4/'Utilisation by Sector'!$M$27</f>
        <v>1.5152495515656406</v>
      </c>
      <c r="BU4" s="166">
        <f>E4/'Utilisation by Sector'!$N$27</f>
        <v>1.1937274909963986</v>
      </c>
      <c r="BV4" s="166">
        <f>F4/'Utilisation by Sector'!$O$27</f>
        <v>2.9894842091525184</v>
      </c>
      <c r="BW4" s="166">
        <f>G4/'Utilisation by Sector'!$P$27</f>
        <v>0.18677181045057883</v>
      </c>
      <c r="BX4" s="166">
        <f>H4/'Utilisation by Sector'!$Q$27</f>
        <v>0.92062111418932413</v>
      </c>
      <c r="BY4" s="138">
        <f t="shared" ref="BY4:BY29" si="24">BR4+M4*1000</f>
        <v>236.35472816966714</v>
      </c>
      <c r="BZ4" s="138">
        <f t="shared" ref="BZ4:BZ29" si="25">BS4+M4*1000</f>
        <v>180.0936202686203</v>
      </c>
      <c r="CA4" s="138">
        <f t="shared" ref="CA4:CA29" si="26">BT4+M4*1000</f>
        <v>180.71524955156565</v>
      </c>
      <c r="CB4" s="138">
        <f t="shared" ref="CB4:CB29" si="27">BU4+M4*1000</f>
        <v>180.39372749099641</v>
      </c>
      <c r="CC4" s="138">
        <f t="shared" ref="CC4:CC29" si="28">BV4+M4*1000</f>
        <v>182.18948420915254</v>
      </c>
      <c r="CD4" s="138">
        <f t="shared" ref="CD4:CD29" si="29">BW4+N4*1000</f>
        <v>77.173319288795994</v>
      </c>
      <c r="CE4" s="138">
        <f t="shared" ref="CE4:CE29" si="30">BX4+O4*1000</f>
        <v>-18.779378885810672</v>
      </c>
      <c r="CF4" s="138">
        <f>BY4*'W.F. at Appliance Level'!I4</f>
        <v>236.35472816966714</v>
      </c>
      <c r="CG4" s="138">
        <f>BZ4*'W.F. at Appliance Level'!J4</f>
        <v>180.0936202686203</v>
      </c>
      <c r="CH4" s="138">
        <f>CA4*'W.F. at Appliance Level'!K4+'UCM Services Protected'!CB4*'W.F. at Appliance Level'!L4+'UCM Services Protected'!CC4*'W.F. at Appliance Level'!M4+'UCM Services Protected'!CD4*'W.F. at Appliance Level'!N4+'UCM Services Protected'!CE4*'W.F. at Appliance Level'!O4</f>
        <v>120.33848033093999</v>
      </c>
      <c r="CI4" s="138">
        <f>CF4*'W.F. End-use Level'!N5+'UCM Services Protected'!CG4*'W.F. End-use Level'!O5+'UCM Services Protected'!CH4*'W.F. End-use Level'!P5</f>
        <v>147.36309011196806</v>
      </c>
      <c r="CJ4" s="166">
        <f>B4/'Utilisation by Sector'!$K$33</f>
        <v>14.288682042416781</v>
      </c>
      <c r="CK4" s="166">
        <f>C4/'Utilisation by Sector'!$L$33</f>
        <v>0.89362026862026867</v>
      </c>
      <c r="CL4" s="166">
        <f>D4/'Utilisation by Sector'!$M$33</f>
        <v>1.5152495515656406</v>
      </c>
      <c r="CM4" s="166">
        <f>E4/'Utilisation by Sector'!$N$33</f>
        <v>1.1937274909963986</v>
      </c>
      <c r="CN4" s="166">
        <f>F4/'Utilisation by Sector'!$O$33</f>
        <v>2.9894842091525184</v>
      </c>
      <c r="CO4" s="166">
        <f>G4/'Utilisation by Sector'!$P$33</f>
        <v>0.18677181045057883</v>
      </c>
      <c r="CP4" s="166">
        <f>H4/'Utilisation by Sector'!$Q$33</f>
        <v>0.92062111418932413</v>
      </c>
      <c r="CQ4" s="138">
        <f t="shared" ref="CQ4:CQ29" si="31">CJ4+M4*1000</f>
        <v>193.4886820424168</v>
      </c>
      <c r="CR4" s="138">
        <f t="shared" ref="CR4:CR29" si="32">CK4+M4*1000</f>
        <v>180.0936202686203</v>
      </c>
      <c r="CS4" s="138">
        <f t="shared" ref="CS4:CS29" si="33">CL4+M4*1000</f>
        <v>180.71524955156565</v>
      </c>
      <c r="CT4" s="138">
        <f t="shared" ref="CT4:CT29" si="34">CM4+M4*1000</f>
        <v>180.39372749099641</v>
      </c>
      <c r="CU4" s="138">
        <f t="shared" ref="CU4:CU29" si="35">CN4+M4*1000</f>
        <v>182.18948420915254</v>
      </c>
      <c r="CV4" s="138">
        <f t="shared" ref="CV4:CV29" si="36">CO4+N4*1000</f>
        <v>77.173319288795994</v>
      </c>
      <c r="CW4" s="138">
        <f t="shared" ref="CW4:CW29" si="37">CP4+O4*1000</f>
        <v>-18.779378885810672</v>
      </c>
      <c r="CX4" s="138">
        <f>CQ4*'W.F. at Appliance Level'!I4</f>
        <v>193.4886820424168</v>
      </c>
      <c r="CY4" s="138">
        <f>CR4*'W.F. at Appliance Level'!J4</f>
        <v>180.0936202686203</v>
      </c>
      <c r="CZ4" s="138">
        <f>CS4*'W.F. at Appliance Level'!K4+'UCM Services Protected'!CT4*'W.F. at Appliance Level'!L4+'UCM Services Protected'!CU4*'W.F. at Appliance Level'!M4+'UCM Services Protected'!CV4*'W.F. at Appliance Level'!N4+'UCM Services Protected'!CW4*'W.F. at Appliance Level'!O4</f>
        <v>120.33848033093999</v>
      </c>
      <c r="DA4" s="138">
        <f>CX4*'W.F. End-use Level'!Q5+'UCM Services Protected'!CY4*'W.F. End-use Level'!R5+'UCM Services Protected'!CZ4*'W.F. End-use Level'!S5</f>
        <v>142.47162204455395</v>
      </c>
      <c r="DB4" s="166">
        <f>C4/'Utilisation by Sector'!$L$39</f>
        <v>3.7532051282051286</v>
      </c>
      <c r="DC4" s="166">
        <f>D4/'Utilisation by Sector'!$M$39</f>
        <v>9.7332500606451742</v>
      </c>
      <c r="DD4" s="166">
        <f>E4/'Utilisation by Sector'!$N$39</f>
        <v>5.0136554621848743</v>
      </c>
      <c r="DE4" s="166">
        <f>F4/'Utilisation by Sector'!$O$39</f>
        <v>12.555833678440576</v>
      </c>
      <c r="DF4" s="166">
        <f>G4/'Utilisation by Sector'!$P$39</f>
        <v>0.78444160389243101</v>
      </c>
      <c r="DG4" s="166">
        <f>H4/'Utilisation by Sector'!$Q$39</f>
        <v>3.8666086795951613</v>
      </c>
      <c r="DH4" s="138">
        <f t="shared" ref="DH4:DH29" si="38">DB4+M4*1000</f>
        <v>182.95320512820516</v>
      </c>
      <c r="DI4" s="138">
        <f t="shared" ref="DI4:DI29" si="39">DC4+M4*1000</f>
        <v>188.93325006064518</v>
      </c>
      <c r="DJ4" s="138">
        <f t="shared" ref="DJ4:DJ29" si="40">DD4+M4*1000</f>
        <v>184.2136554621849</v>
      </c>
      <c r="DK4" s="138">
        <f t="shared" ref="DK4:DK29" si="41">DE4+M4*1000</f>
        <v>191.75583367844058</v>
      </c>
      <c r="DL4" s="138">
        <f t="shared" ref="DL4:DL29" si="42">DF4+N4*1000</f>
        <v>77.770989082237847</v>
      </c>
      <c r="DM4" s="138">
        <f t="shared" ref="DM4:DM29" si="43">DG4+O4*1000</f>
        <v>-15.833391320404834</v>
      </c>
      <c r="DN4" s="138">
        <f>DH4*'W.F. at Appliance Level'!J4</f>
        <v>182.95320512820516</v>
      </c>
      <c r="DO4" s="138">
        <f>DI4*'W.F. at Appliance Level'!K4+'UCM Services Protected'!DJ4*'W.F. at Appliance Level'!L4+'UCM Services Protected'!DK4*'W.F. at Appliance Level'!M4+'UCM Services Protected'!DL4*'W.F. at Appliance Level'!N4+'UCM Services Protected'!DM4*'W.F. at Appliance Level'!O4</f>
        <v>125.36806739262074</v>
      </c>
      <c r="DP4" s="138">
        <f>DN4*'W.F. End-use Level'!T5+'UCM Services Protected'!DO4*'W.F. End-use Level'!U5</f>
        <v>140.36463068009908</v>
      </c>
      <c r="DQ4" s="133">
        <f>AG4*'W.F. at Subsector Level'!B4+'UCM Services Protected'!AY4*'W.F. at Subsector Level'!C4+'UCM Services Protected'!BQ4*'W.F. at Subsector Level'!D4+'UCM Services Protected'!CI4*'W.F. at Subsector Level'!E4+'UCM Services Protected'!DA4*'W.F. at Subsector Level'!F4+'UCM Services Protected'!DP4*'W.F. at Subsector Level'!G4</f>
        <v>144.88568709208627</v>
      </c>
    </row>
    <row r="5" spans="1:125" ht="15.75" customHeight="1" x14ac:dyDescent="0.3">
      <c r="A5" s="54" t="s">
        <v>3</v>
      </c>
      <c r="B5" s="167">
        <f>'Appliance Prices'!B5</f>
        <v>408888.88888888888</v>
      </c>
      <c r="C5" s="167">
        <f>'Appliance Prices'!C5</f>
        <v>243351.85185185188</v>
      </c>
      <c r="D5" s="167">
        <f>'Appliance Prices'!D5</f>
        <v>211348.19532908703</v>
      </c>
      <c r="E5" s="167">
        <f>'Appliance Prices'!E5</f>
        <v>19093.666666666664</v>
      </c>
      <c r="F5" s="167">
        <f>'Appliance Prices'!F5</f>
        <v>714913.57142857148</v>
      </c>
      <c r="G5" s="167">
        <f>'Appliance Prices'!G5</f>
        <v>11156.202663880907</v>
      </c>
      <c r="H5" s="167">
        <f>'Appliance Prices'!H5</f>
        <v>84133.333333333328</v>
      </c>
      <c r="I5" s="167">
        <f>'Fuel Prices excl. VAT'!B4</f>
        <v>9.7000000000000003E-2</v>
      </c>
      <c r="J5" s="167">
        <f>'Fuel Prices excl. VAT'!D4</f>
        <v>0.15479999999999999</v>
      </c>
      <c r="K5" s="167">
        <f>'Fuel Prices excl. VAT'!F4</f>
        <v>0.12105067656139483</v>
      </c>
      <c r="L5" s="167">
        <f>'Fuel Prices excl. VAT'!H4</f>
        <v>4.4999999999999998E-2</v>
      </c>
      <c r="M5" s="167">
        <f t="shared" si="0"/>
        <v>5.779999999999999E-2</v>
      </c>
      <c r="N5" s="167">
        <f t="shared" si="1"/>
        <v>2.4050676561394826E-2</v>
      </c>
      <c r="O5" s="167">
        <f t="shared" si="2"/>
        <v>-5.2000000000000005E-2</v>
      </c>
      <c r="P5" s="167">
        <f>B5/'Utilisation by Sector'!$K$9</f>
        <v>28.083028083028083</v>
      </c>
      <c r="Q5" s="167">
        <f>C5/'Utilisation by Sector'!$L$9</f>
        <v>2.7856210147876816</v>
      </c>
      <c r="R5" s="167">
        <f>D5/'Utilisation by Sector'!$M$9</f>
        <v>2.4192787926864359</v>
      </c>
      <c r="S5" s="167">
        <f>E5/'Utilisation by Sector'!$N$9</f>
        <v>0.477532679738562</v>
      </c>
      <c r="T5" s="167">
        <f>F5/'Utilisation by Sector'!$O$9</f>
        <v>8.3439959317060168</v>
      </c>
      <c r="U5" s="167">
        <f>G5/'Utilisation by Sector'!$P$9</f>
        <v>9.7655835643215227E-2</v>
      </c>
      <c r="V5" s="167">
        <f>H5/'Utilisation by Sector'!$Q$9</f>
        <v>0.73646125116713346</v>
      </c>
      <c r="W5" s="139">
        <f t="shared" si="3"/>
        <v>85.88302808302808</v>
      </c>
      <c r="X5" s="139">
        <f t="shared" si="4"/>
        <v>60.585621014787669</v>
      </c>
      <c r="Y5" s="139">
        <f t="shared" si="5"/>
        <v>60.219278792686424</v>
      </c>
      <c r="Z5" s="139">
        <f t="shared" si="6"/>
        <v>58.277532679738549</v>
      </c>
      <c r="AA5" s="139">
        <f t="shared" si="7"/>
        <v>66.143995931706002</v>
      </c>
      <c r="AB5" s="139">
        <f t="shared" si="8"/>
        <v>24.148332397038043</v>
      </c>
      <c r="AC5" s="139">
        <f t="shared" si="9"/>
        <v>-51.263538748832872</v>
      </c>
      <c r="AD5" s="139">
        <f>W5*'W.F. at Appliance Level'!I5</f>
        <v>85.88302808302808</v>
      </c>
      <c r="AE5" s="139">
        <f>X5*'W.F. at Appliance Level'!J5</f>
        <v>60.585621014787669</v>
      </c>
      <c r="AF5" s="139">
        <f>Y5*'W.F. at Appliance Level'!K5+'UCM Services Protected'!Z5*'W.F. at Appliance Level'!L5+'UCM Services Protected'!AA5*'W.F. at Appliance Level'!M5+'UCM Services Protected'!AB5*'W.F. at Appliance Level'!N5+'UCM Services Protected'!AC5*'W.F. at Appliance Level'!O5</f>
        <v>31.505120210467229</v>
      </c>
      <c r="AG5" s="139">
        <f>AD5*'W.F. End-use Level'!E6+'UCM Services Protected'!AE5*'W.F. End-use Level'!F6+'UCM Services Protected'!AF5*'W.F. End-use Level'!G6</f>
        <v>39.601345261585458</v>
      </c>
      <c r="AH5" s="167">
        <f>B5/'Utilisation by Sector'!$K$15</f>
        <v>71.734892787524359</v>
      </c>
      <c r="AI5" s="167">
        <f>C5/'Utilisation by Sector'!$L$15</f>
        <v>16.009990253411306</v>
      </c>
      <c r="AJ5" s="167">
        <f>D5/'Utilisation by Sector'!$M$15</f>
        <v>15.540308480079929</v>
      </c>
      <c r="AK5" s="167">
        <f>E5/'Utilisation by Sector'!$N$15</f>
        <v>2.0056372549019605</v>
      </c>
      <c r="AL5" s="167">
        <f>F5/'Utilisation by Sector'!$O$15</f>
        <v>35.044782913165271</v>
      </c>
      <c r="AM5" s="167">
        <f>G5/'Utilisation by Sector'!$P$15</f>
        <v>0.41015450970150397</v>
      </c>
      <c r="AN5" s="167">
        <f>H5/'Utilisation by Sector'!$Q$15</f>
        <v>3.0931372549019605</v>
      </c>
      <c r="AO5" s="139">
        <f t="shared" si="10"/>
        <v>129.53489278752434</v>
      </c>
      <c r="AP5" s="139">
        <f t="shared" si="11"/>
        <v>73.8099902534113</v>
      </c>
      <c r="AQ5" s="139">
        <f t="shared" si="12"/>
        <v>73.340308480079926</v>
      </c>
      <c r="AR5" s="139">
        <f t="shared" si="13"/>
        <v>59.805637254901953</v>
      </c>
      <c r="AS5" s="139">
        <f t="shared" si="14"/>
        <v>92.844782913165261</v>
      </c>
      <c r="AT5" s="139">
        <f t="shared" si="15"/>
        <v>24.460831071096329</v>
      </c>
      <c r="AU5" s="139">
        <f t="shared" si="16"/>
        <v>-48.906862745098046</v>
      </c>
      <c r="AV5" s="139">
        <f>AO5*'W.F. at Appliance Level'!I5</f>
        <v>129.53489278752434</v>
      </c>
      <c r="AW5" s="139">
        <f>AP5*'W.F. at Appliance Level'!J5</f>
        <v>73.8099902534113</v>
      </c>
      <c r="AX5" s="139">
        <f>AQ5*'W.F. at Appliance Level'!K5+'UCM Services Protected'!AR5*'W.F. at Appliance Level'!L5+'UCM Services Protected'!AS5*'W.F. at Appliance Level'!M5+'UCM Services Protected'!AT5*'W.F. at Appliance Level'!N5+'UCM Services Protected'!AU5*'W.F. at Appliance Level'!O5</f>
        <v>40.308939394829089</v>
      </c>
      <c r="AY5" s="139">
        <f>AV5*'W.F. End-use Level'!H6+'UCM Services Protected'!AW5*'W.F. End-use Level'!I6+'UCM Services Protected'!AX5*'W.F. End-use Level'!J6</f>
        <v>50.920462059468768</v>
      </c>
      <c r="AZ5" s="167">
        <f>B5/'Utilisation by Sector'!$K$21</f>
        <v>112.33211233211233</v>
      </c>
      <c r="BA5" s="167">
        <f>C5/'Utilisation by Sector'!$L$21</f>
        <v>2.7856210147876816</v>
      </c>
      <c r="BB5" s="167">
        <f>D5/'Utilisation by Sector'!$M$21</f>
        <v>2.4192787926864359</v>
      </c>
      <c r="BC5" s="167">
        <f>E5/'Utilisation by Sector'!$N$21</f>
        <v>0.477532679738562</v>
      </c>
      <c r="BD5" s="167">
        <f>F5/'Utilisation by Sector'!$O$21</f>
        <v>8.3439959317060168</v>
      </c>
      <c r="BE5" s="167">
        <f>G5/'Utilisation by Sector'!$P$21</f>
        <v>9.7655835643215227E-2</v>
      </c>
      <c r="BF5" s="167">
        <f>H5/'Utilisation by Sector'!$Q$21</f>
        <v>0.73646125116713346</v>
      </c>
      <c r="BG5" s="139">
        <f t="shared" si="17"/>
        <v>170.13211233211231</v>
      </c>
      <c r="BH5" s="139">
        <f t="shared" si="18"/>
        <v>60.585621014787669</v>
      </c>
      <c r="BI5" s="139">
        <f t="shared" si="19"/>
        <v>60.219278792686424</v>
      </c>
      <c r="BJ5" s="139">
        <f t="shared" si="20"/>
        <v>58.277532679738549</v>
      </c>
      <c r="BK5" s="139">
        <f t="shared" si="21"/>
        <v>66.143995931706002</v>
      </c>
      <c r="BL5" s="139">
        <f t="shared" si="22"/>
        <v>24.148332397038043</v>
      </c>
      <c r="BM5" s="139">
        <f t="shared" si="23"/>
        <v>-51.263538748832872</v>
      </c>
      <c r="BN5" s="139">
        <f>BG5*'W.F. at Appliance Level'!I5</f>
        <v>170.13211233211231</v>
      </c>
      <c r="BO5" s="139">
        <f>BH5*'W.F. at Appliance Level'!J5</f>
        <v>60.585621014787669</v>
      </c>
      <c r="BP5" s="139">
        <f>BI5*'W.F. at Appliance Level'!K5+'UCM Services Protected'!BJ5*'W.F. at Appliance Level'!L5+'UCM Services Protected'!BK5*'W.F. at Appliance Level'!M5+'UCM Services Protected'!BL5*'W.F. at Appliance Level'!N5+'UCM Services Protected'!BM5*'W.F. at Appliance Level'!O5</f>
        <v>31.505120210467229</v>
      </c>
      <c r="BQ5" s="139">
        <f>BN5*'W.F. End-use Level'!K6+'UCM Services Protected'!BO5*'W.F. End-use Level'!L6+'UCM Services Protected'!BP5*'W.F. End-use Level'!M6</f>
        <v>43.67270779524663</v>
      </c>
      <c r="BR5" s="167">
        <f>B5/'Utilisation by Sector'!$K$27</f>
        <v>112.33211233211233</v>
      </c>
      <c r="BS5" s="167">
        <f>C5/'Utilisation by Sector'!$L$27</f>
        <v>2.7856210147876816</v>
      </c>
      <c r="BT5" s="167">
        <f>D5/'Utilisation by Sector'!$M$27</f>
        <v>2.4192787926864359</v>
      </c>
      <c r="BU5" s="167">
        <f>E5/'Utilisation by Sector'!$N$27</f>
        <v>0.477532679738562</v>
      </c>
      <c r="BV5" s="167">
        <f>F5/'Utilisation by Sector'!$O$27</f>
        <v>8.3439959317060168</v>
      </c>
      <c r="BW5" s="167">
        <f>G5/'Utilisation by Sector'!$P$27</f>
        <v>9.7655835643215227E-2</v>
      </c>
      <c r="BX5" s="167">
        <f>H5/'Utilisation by Sector'!$Q$27</f>
        <v>0.73646125116713346</v>
      </c>
      <c r="BY5" s="139">
        <f t="shared" si="24"/>
        <v>170.13211233211231</v>
      </c>
      <c r="BZ5" s="139">
        <f t="shared" si="25"/>
        <v>60.585621014787669</v>
      </c>
      <c r="CA5" s="139">
        <f t="shared" si="26"/>
        <v>60.219278792686424</v>
      </c>
      <c r="CB5" s="139">
        <f t="shared" si="27"/>
        <v>58.277532679738549</v>
      </c>
      <c r="CC5" s="139">
        <f t="shared" si="28"/>
        <v>66.143995931706002</v>
      </c>
      <c r="CD5" s="139">
        <f t="shared" si="29"/>
        <v>24.148332397038043</v>
      </c>
      <c r="CE5" s="139">
        <f t="shared" si="30"/>
        <v>-51.263538748832872</v>
      </c>
      <c r="CF5" s="139">
        <f>BY5*'W.F. at Appliance Level'!I5</f>
        <v>170.13211233211231</v>
      </c>
      <c r="CG5" s="139">
        <f>BZ5*'W.F. at Appliance Level'!J5</f>
        <v>60.585621014787669</v>
      </c>
      <c r="CH5" s="139">
        <f>CA5*'W.F. at Appliance Level'!K5+'UCM Services Protected'!CB5*'W.F. at Appliance Level'!L5+'UCM Services Protected'!CC5*'W.F. at Appliance Level'!M5+'UCM Services Protected'!CD5*'W.F. at Appliance Level'!N5+'UCM Services Protected'!CE5*'W.F. at Appliance Level'!O5</f>
        <v>31.505120210467229</v>
      </c>
      <c r="CI5" s="139">
        <f>CF5*'W.F. End-use Level'!N6+'UCM Services Protected'!CG5*'W.F. End-use Level'!O6+'UCM Services Protected'!CH5*'W.F. End-use Level'!P6</f>
        <v>43.67270779524663</v>
      </c>
      <c r="CJ5" s="167">
        <f>B5/'Utilisation by Sector'!$K$33</f>
        <v>28.083028083028083</v>
      </c>
      <c r="CK5" s="167">
        <f>C5/'Utilisation by Sector'!$L$33</f>
        <v>2.7856210147876816</v>
      </c>
      <c r="CL5" s="167">
        <f>D5/'Utilisation by Sector'!$M$33</f>
        <v>2.4192787926864359</v>
      </c>
      <c r="CM5" s="167">
        <f>E5/'Utilisation by Sector'!$N$33</f>
        <v>0.477532679738562</v>
      </c>
      <c r="CN5" s="167">
        <f>F5/'Utilisation by Sector'!$O$33</f>
        <v>8.3439959317060168</v>
      </c>
      <c r="CO5" s="167">
        <f>G5/'Utilisation by Sector'!$P$33</f>
        <v>9.7655835643215227E-2</v>
      </c>
      <c r="CP5" s="167">
        <f>H5/'Utilisation by Sector'!$Q$33</f>
        <v>0.73646125116713346</v>
      </c>
      <c r="CQ5" s="139">
        <f t="shared" si="31"/>
        <v>85.88302808302808</v>
      </c>
      <c r="CR5" s="139">
        <f t="shared" si="32"/>
        <v>60.585621014787669</v>
      </c>
      <c r="CS5" s="139">
        <f t="shared" si="33"/>
        <v>60.219278792686424</v>
      </c>
      <c r="CT5" s="139">
        <f t="shared" si="34"/>
        <v>58.277532679738549</v>
      </c>
      <c r="CU5" s="139">
        <f t="shared" si="35"/>
        <v>66.143995931706002</v>
      </c>
      <c r="CV5" s="139">
        <f t="shared" si="36"/>
        <v>24.148332397038043</v>
      </c>
      <c r="CW5" s="139">
        <f t="shared" si="37"/>
        <v>-51.263538748832872</v>
      </c>
      <c r="CX5" s="139">
        <f>CQ5*'W.F. at Appliance Level'!I5</f>
        <v>85.88302808302808</v>
      </c>
      <c r="CY5" s="139">
        <f>CR5*'W.F. at Appliance Level'!J5</f>
        <v>60.585621014787669</v>
      </c>
      <c r="CZ5" s="139">
        <f>CS5*'W.F. at Appliance Level'!K5+'UCM Services Protected'!CT5*'W.F. at Appliance Level'!L5+'UCM Services Protected'!CU5*'W.F. at Appliance Level'!M5+'UCM Services Protected'!CV5*'W.F. at Appliance Level'!N5+'UCM Services Protected'!CW5*'W.F. at Appliance Level'!O5</f>
        <v>31.505120210467229</v>
      </c>
      <c r="DA5" s="139">
        <f>CX5*'W.F. End-use Level'!Q6+'UCM Services Protected'!CY5*'W.F. End-use Level'!R6+'UCM Services Protected'!CZ5*'W.F. End-use Level'!S6</f>
        <v>39.601345261585458</v>
      </c>
      <c r="DB5" s="167">
        <f>C5/'Utilisation by Sector'!$L$39</f>
        <v>11.699608262108264</v>
      </c>
      <c r="DC5" s="167">
        <f>D5/'Utilisation by Sector'!$M$39</f>
        <v>15.540308480079929</v>
      </c>
      <c r="DD5" s="167">
        <f>E5/'Utilisation by Sector'!$N$39</f>
        <v>2.0056372549019605</v>
      </c>
      <c r="DE5" s="167">
        <f>F5/'Utilisation by Sector'!$O$39</f>
        <v>35.044782913165271</v>
      </c>
      <c r="DF5" s="167">
        <f>G5/'Utilisation by Sector'!$P$39</f>
        <v>0.41015450970150397</v>
      </c>
      <c r="DG5" s="167">
        <f>H5/'Utilisation by Sector'!$Q$39</f>
        <v>3.0931372549019605</v>
      </c>
      <c r="DH5" s="139">
        <f t="shared" si="38"/>
        <v>69.499608262108254</v>
      </c>
      <c r="DI5" s="139">
        <f t="shared" si="39"/>
        <v>73.340308480079926</v>
      </c>
      <c r="DJ5" s="139">
        <f t="shared" si="40"/>
        <v>59.805637254901953</v>
      </c>
      <c r="DK5" s="139">
        <f t="shared" si="41"/>
        <v>92.844782913165261</v>
      </c>
      <c r="DL5" s="139">
        <f t="shared" si="42"/>
        <v>24.460831071096329</v>
      </c>
      <c r="DM5" s="139">
        <f t="shared" si="43"/>
        <v>-48.906862745098046</v>
      </c>
      <c r="DN5" s="139">
        <f>DH5*'W.F. at Appliance Level'!J5</f>
        <v>69.499608262108254</v>
      </c>
      <c r="DO5" s="139">
        <f>DI5*'W.F. at Appliance Level'!K5+'UCM Services Protected'!DJ5*'W.F. at Appliance Level'!L5+'UCM Services Protected'!DK5*'W.F. at Appliance Level'!M5+'UCM Services Protected'!DL5*'W.F. at Appliance Level'!N5+'UCM Services Protected'!DM5*'W.F. at Appliance Level'!O5</f>
        <v>40.308939394829089</v>
      </c>
      <c r="DP5" s="139">
        <f>DN5*'W.F. End-use Level'!T6+'UCM Services Protected'!DO5*'W.F. End-use Level'!U6</f>
        <v>46.076784820516451</v>
      </c>
      <c r="DQ5" s="134">
        <f>AG5*'W.F. at Subsector Level'!B5+'UCM Services Protected'!AY5*'W.F. at Subsector Level'!C5+'UCM Services Protected'!BQ5*'W.F. at Subsector Level'!D5+'UCM Services Protected'!CI5*'W.F. at Subsector Level'!E5+'UCM Services Protected'!DA5*'W.F. at Subsector Level'!F5+'UCM Services Protected'!DP5*'W.F. at Subsector Level'!G5</f>
        <v>43.924225498941567</v>
      </c>
    </row>
    <row r="6" spans="1:125" ht="15.75" customHeight="1" x14ac:dyDescent="0.3">
      <c r="A6" s="54" t="s">
        <v>4</v>
      </c>
      <c r="B6" s="166">
        <f>'Appliance Prices'!B6</f>
        <v>167777.53968253967</v>
      </c>
      <c r="C6" s="166">
        <f>'Appliance Prices'!C6</f>
        <v>42899.285714285717</v>
      </c>
      <c r="D6" s="166">
        <f>'Appliance Prices'!D6</f>
        <v>211348.19532908703</v>
      </c>
      <c r="E6" s="166">
        <f>'Appliance Prices'!E6</f>
        <v>74277.333333333343</v>
      </c>
      <c r="F6" s="166">
        <f>'Appliance Prices'!F6</f>
        <v>240298.53193233476</v>
      </c>
      <c r="G6" s="166">
        <f>'Appliance Prices'!G6</f>
        <v>14918.870370370372</v>
      </c>
      <c r="H6" s="166">
        <f>'Appliance Prices'!H6</f>
        <v>70071.634615384624</v>
      </c>
      <c r="I6" s="166">
        <f>'Fuel Prices excl. VAT'!B5</f>
        <v>4.7291666666666669E-2</v>
      </c>
      <c r="J6" s="166">
        <f>'Fuel Prices excl. VAT'!D5</f>
        <v>0.1275</v>
      </c>
      <c r="K6" s="166">
        <f>'Fuel Prices excl. VAT'!F5</f>
        <v>0.10694736842105264</v>
      </c>
      <c r="L6" s="166">
        <f>'Fuel Prices excl. VAT'!H5</f>
        <v>4.4999999999999998E-2</v>
      </c>
      <c r="M6" s="166">
        <f t="shared" si="0"/>
        <v>8.0208333333333326E-2</v>
      </c>
      <c r="N6" s="166">
        <f t="shared" si="1"/>
        <v>5.9655701754385969E-2</v>
      </c>
      <c r="O6" s="166">
        <f t="shared" si="2"/>
        <v>-2.291666666666671E-3</v>
      </c>
      <c r="P6" s="166">
        <f>B6/'Utilisation by Sector'!$K$9</f>
        <v>11.523182670504099</v>
      </c>
      <c r="Q6" s="166">
        <f>C6/'Utilisation by Sector'!$L$9</f>
        <v>0.49106325222396652</v>
      </c>
      <c r="R6" s="166">
        <f>D6/'Utilisation by Sector'!$M$9</f>
        <v>2.4192787926864359</v>
      </c>
      <c r="S6" s="166">
        <f>E6/'Utilisation by Sector'!$N$9</f>
        <v>1.8576764038948916</v>
      </c>
      <c r="T6" s="166">
        <f>F6/'Utilisation by Sector'!$O$9</f>
        <v>2.8046047144296775</v>
      </c>
      <c r="U6" s="166">
        <f>G6/'Utilisation by Sector'!$P$9</f>
        <v>0.13059235268181349</v>
      </c>
      <c r="V6" s="166">
        <f>H6/'Utilisation by Sector'!$Q$9</f>
        <v>0.61337215174531357</v>
      </c>
      <c r="W6" s="138">
        <f t="shared" si="3"/>
        <v>91.731516003837427</v>
      </c>
      <c r="X6" s="138">
        <f t="shared" si="4"/>
        <v>80.699396585557295</v>
      </c>
      <c r="Y6" s="138">
        <f t="shared" si="5"/>
        <v>82.62761212601977</v>
      </c>
      <c r="Z6" s="138">
        <f t="shared" si="6"/>
        <v>82.066009737228214</v>
      </c>
      <c r="AA6" s="138">
        <f t="shared" si="7"/>
        <v>83.012938047763001</v>
      </c>
      <c r="AB6" s="138">
        <f t="shared" si="8"/>
        <v>59.786294107067782</v>
      </c>
      <c r="AC6" s="138">
        <f t="shared" si="9"/>
        <v>-1.6782945149213573</v>
      </c>
      <c r="AD6" s="138">
        <f>W6*'W.F. at Appliance Level'!I6</f>
        <v>91.731516003837427</v>
      </c>
      <c r="AE6" s="138">
        <f>X6*'W.F. at Appliance Level'!J6</f>
        <v>80.699396585557295</v>
      </c>
      <c r="AF6" s="138">
        <f>Y6*'W.F. at Appliance Level'!K6+'UCM Services Protected'!Z6*'W.F. at Appliance Level'!L6+'UCM Services Protected'!AA6*'W.F. at Appliance Level'!M6+'UCM Services Protected'!AB6*'W.F. at Appliance Level'!N6+'UCM Services Protected'!AC6*'W.F. at Appliance Level'!O6</f>
        <v>61.162911900631492</v>
      </c>
      <c r="AG6" s="138">
        <f>AD6*'W.F. End-use Level'!E7+'UCM Services Protected'!AE6*'W.F. End-use Level'!F7+'UCM Services Protected'!AF6*'W.F. End-use Level'!G7</f>
        <v>67.901412580659922</v>
      </c>
      <c r="AH6" s="166">
        <f>B6/'Utilisation by Sector'!$K$15</f>
        <v>29.434656084656083</v>
      </c>
      <c r="AI6" s="166">
        <f>C6/'Utilisation by Sector'!$L$15</f>
        <v>2.8223214285714286</v>
      </c>
      <c r="AJ6" s="166">
        <f>D6/'Utilisation by Sector'!$M$15</f>
        <v>15.540308480079929</v>
      </c>
      <c r="AK6" s="166">
        <f>E6/'Utilisation by Sector'!$N$15</f>
        <v>7.8022408963585441</v>
      </c>
      <c r="AL6" s="166">
        <f>F6/'Utilisation by Sector'!$O$15</f>
        <v>11.779339800604646</v>
      </c>
      <c r="AM6" s="166">
        <f>G6/'Utilisation by Sector'!$P$15</f>
        <v>0.54848788126361658</v>
      </c>
      <c r="AN6" s="166">
        <f>H6/'Utilisation by Sector'!$Q$15</f>
        <v>2.5761630373303173</v>
      </c>
      <c r="AO6" s="138">
        <f t="shared" si="10"/>
        <v>109.64298941798941</v>
      </c>
      <c r="AP6" s="138">
        <f t="shared" si="11"/>
        <v>83.030654761904756</v>
      </c>
      <c r="AQ6" s="138">
        <f t="shared" si="12"/>
        <v>95.748641813413258</v>
      </c>
      <c r="AR6" s="138">
        <f t="shared" si="13"/>
        <v>88.010574229691869</v>
      </c>
      <c r="AS6" s="138">
        <f t="shared" si="14"/>
        <v>91.987673133937975</v>
      </c>
      <c r="AT6" s="138">
        <f t="shared" si="15"/>
        <v>60.204189635649584</v>
      </c>
      <c r="AU6" s="138">
        <f t="shared" si="16"/>
        <v>0.2844963706636463</v>
      </c>
      <c r="AV6" s="138">
        <f>AO6*'W.F. at Appliance Level'!I6</f>
        <v>109.64298941798941</v>
      </c>
      <c r="AW6" s="138">
        <f>AP6*'W.F. at Appliance Level'!J6</f>
        <v>83.030654761904756</v>
      </c>
      <c r="AX6" s="138">
        <f>AQ6*'W.F. at Appliance Level'!K6+'UCM Services Protected'!AR6*'W.F. at Appliance Level'!L6+'UCM Services Protected'!AS6*'W.F. at Appliance Level'!M6+'UCM Services Protected'!AT6*'W.F. at Appliance Level'!N6+'UCM Services Protected'!AU6*'W.F. at Appliance Level'!O6</f>
        <v>67.247115036671275</v>
      </c>
      <c r="AY6" s="138">
        <f>AV6*'W.F. End-use Level'!H7+'UCM Services Protected'!AW6*'W.F. End-use Level'!I7+'UCM Services Protected'!AX6*'W.F. End-use Level'!J7</f>
        <v>74.313514343648166</v>
      </c>
      <c r="AZ6" s="166">
        <f>B6/'Utilisation by Sector'!$K$21</f>
        <v>46.092730682016395</v>
      </c>
      <c r="BA6" s="166">
        <f>C6/'Utilisation by Sector'!$L$21</f>
        <v>0.49106325222396652</v>
      </c>
      <c r="BB6" s="166">
        <f>D6/'Utilisation by Sector'!$M$21</f>
        <v>2.4192787926864359</v>
      </c>
      <c r="BC6" s="166">
        <f>E6/'Utilisation by Sector'!$N$21</f>
        <v>1.8576764038948916</v>
      </c>
      <c r="BD6" s="166">
        <f>F6/'Utilisation by Sector'!$O$21</f>
        <v>2.8046047144296775</v>
      </c>
      <c r="BE6" s="166">
        <f>G6/'Utilisation by Sector'!$P$21</f>
        <v>0.13059235268181349</v>
      </c>
      <c r="BF6" s="166">
        <f>H6/'Utilisation by Sector'!$Q$21</f>
        <v>0.61337215174531357</v>
      </c>
      <c r="BG6" s="138">
        <f t="shared" si="17"/>
        <v>126.30106401534972</v>
      </c>
      <c r="BH6" s="138">
        <f t="shared" si="18"/>
        <v>80.699396585557295</v>
      </c>
      <c r="BI6" s="138">
        <f t="shared" si="19"/>
        <v>82.62761212601977</v>
      </c>
      <c r="BJ6" s="138">
        <f t="shared" si="20"/>
        <v>82.066009737228214</v>
      </c>
      <c r="BK6" s="138">
        <f t="shared" si="21"/>
        <v>83.012938047763001</v>
      </c>
      <c r="BL6" s="138">
        <f t="shared" si="22"/>
        <v>59.786294107067782</v>
      </c>
      <c r="BM6" s="138">
        <f t="shared" si="23"/>
        <v>-1.6782945149213573</v>
      </c>
      <c r="BN6" s="138">
        <f>BG6*'W.F. at Appliance Level'!I6</f>
        <v>126.30106401534972</v>
      </c>
      <c r="BO6" s="138">
        <f>BH6*'W.F. at Appliance Level'!J6</f>
        <v>80.699396585557295</v>
      </c>
      <c r="BP6" s="138">
        <f>BI6*'W.F. at Appliance Level'!K6+'UCM Services Protected'!BJ6*'W.F. at Appliance Level'!L6+'UCM Services Protected'!BK6*'W.F. at Appliance Level'!M6+'UCM Services Protected'!BL6*'W.F. at Appliance Level'!N6+'UCM Services Protected'!BM6*'W.F. at Appliance Level'!O6</f>
        <v>61.162911900631492</v>
      </c>
      <c r="BQ6" s="138">
        <f>BN6*'W.F. End-use Level'!K7+'UCM Services Protected'!BO6*'W.F. End-use Level'!L7+'UCM Services Protected'!BP6*'W.F. End-use Level'!M7</f>
        <v>71.070107639651027</v>
      </c>
      <c r="BR6" s="166">
        <f>B6/'Utilisation by Sector'!$K$27</f>
        <v>46.092730682016395</v>
      </c>
      <c r="BS6" s="166">
        <f>C6/'Utilisation by Sector'!$L$27</f>
        <v>0.49106325222396652</v>
      </c>
      <c r="BT6" s="166">
        <f>D6/'Utilisation by Sector'!$M$27</f>
        <v>2.4192787926864359</v>
      </c>
      <c r="BU6" s="166">
        <f>E6/'Utilisation by Sector'!$N$27</f>
        <v>1.8576764038948916</v>
      </c>
      <c r="BV6" s="166">
        <f>F6/'Utilisation by Sector'!$O$27</f>
        <v>2.8046047144296775</v>
      </c>
      <c r="BW6" s="166">
        <f>G6/'Utilisation by Sector'!$P$27</f>
        <v>0.13059235268181349</v>
      </c>
      <c r="BX6" s="166">
        <f>H6/'Utilisation by Sector'!$Q$27</f>
        <v>0.61337215174531357</v>
      </c>
      <c r="BY6" s="138">
        <f t="shared" si="24"/>
        <v>126.30106401534972</v>
      </c>
      <c r="BZ6" s="138">
        <f t="shared" si="25"/>
        <v>80.699396585557295</v>
      </c>
      <c r="CA6" s="138">
        <f t="shared" si="26"/>
        <v>82.62761212601977</v>
      </c>
      <c r="CB6" s="138">
        <f t="shared" si="27"/>
        <v>82.066009737228214</v>
      </c>
      <c r="CC6" s="138">
        <f t="shared" si="28"/>
        <v>83.012938047763001</v>
      </c>
      <c r="CD6" s="138">
        <f t="shared" si="29"/>
        <v>59.786294107067782</v>
      </c>
      <c r="CE6" s="138">
        <f t="shared" si="30"/>
        <v>-1.6782945149213573</v>
      </c>
      <c r="CF6" s="138">
        <f>BY6*'W.F. at Appliance Level'!I6</f>
        <v>126.30106401534972</v>
      </c>
      <c r="CG6" s="138">
        <f>BZ6*'W.F. at Appliance Level'!J6</f>
        <v>80.699396585557295</v>
      </c>
      <c r="CH6" s="138">
        <f>CA6*'W.F. at Appliance Level'!K6+'UCM Services Protected'!CB6*'W.F. at Appliance Level'!L6+'UCM Services Protected'!CC6*'W.F. at Appliance Level'!M6+'UCM Services Protected'!CD6*'W.F. at Appliance Level'!N6+'UCM Services Protected'!CE6*'W.F. at Appliance Level'!O6</f>
        <v>61.162911900631492</v>
      </c>
      <c r="CI6" s="138">
        <f>CF6*'W.F. End-use Level'!N7+'UCM Services Protected'!CG6*'W.F. End-use Level'!O7+'UCM Services Protected'!CH6*'W.F. End-use Level'!P7</f>
        <v>71.070107639651027</v>
      </c>
      <c r="CJ6" s="166">
        <f>B6/'Utilisation by Sector'!$K$33</f>
        <v>11.523182670504099</v>
      </c>
      <c r="CK6" s="166">
        <f>C6/'Utilisation by Sector'!$L$33</f>
        <v>0.49106325222396652</v>
      </c>
      <c r="CL6" s="166">
        <f>D6/'Utilisation by Sector'!$M$33</f>
        <v>2.4192787926864359</v>
      </c>
      <c r="CM6" s="166">
        <f>E6/'Utilisation by Sector'!$N$33</f>
        <v>1.8576764038948916</v>
      </c>
      <c r="CN6" s="166">
        <f>F6/'Utilisation by Sector'!$O$33</f>
        <v>2.8046047144296775</v>
      </c>
      <c r="CO6" s="166">
        <f>G6/'Utilisation by Sector'!$P$33</f>
        <v>0.13059235268181349</v>
      </c>
      <c r="CP6" s="166">
        <f>H6/'Utilisation by Sector'!$Q$33</f>
        <v>0.61337215174531357</v>
      </c>
      <c r="CQ6" s="138">
        <f t="shared" si="31"/>
        <v>91.731516003837427</v>
      </c>
      <c r="CR6" s="138">
        <f t="shared" si="32"/>
        <v>80.699396585557295</v>
      </c>
      <c r="CS6" s="138">
        <f t="shared" si="33"/>
        <v>82.62761212601977</v>
      </c>
      <c r="CT6" s="138">
        <f t="shared" si="34"/>
        <v>82.066009737228214</v>
      </c>
      <c r="CU6" s="138">
        <f t="shared" si="35"/>
        <v>83.012938047763001</v>
      </c>
      <c r="CV6" s="138">
        <f t="shared" si="36"/>
        <v>59.786294107067782</v>
      </c>
      <c r="CW6" s="138">
        <f t="shared" si="37"/>
        <v>-1.6782945149213573</v>
      </c>
      <c r="CX6" s="138">
        <f>CQ6*'W.F. at Appliance Level'!I6</f>
        <v>91.731516003837427</v>
      </c>
      <c r="CY6" s="138">
        <f>CR6*'W.F. at Appliance Level'!J6</f>
        <v>80.699396585557295</v>
      </c>
      <c r="CZ6" s="138">
        <f>CS6*'W.F. at Appliance Level'!K6+'UCM Services Protected'!CT6*'W.F. at Appliance Level'!L6+'UCM Services Protected'!CU6*'W.F. at Appliance Level'!M6+'UCM Services Protected'!CV6*'W.F. at Appliance Level'!N6+'UCM Services Protected'!CW6*'W.F. at Appliance Level'!O6</f>
        <v>61.162911900631492</v>
      </c>
      <c r="DA6" s="138">
        <f>CX6*'W.F. End-use Level'!Q7+'UCM Services Protected'!CY6*'W.F. End-use Level'!R7+'UCM Services Protected'!CZ6*'W.F. End-use Level'!S7</f>
        <v>67.901412580659922</v>
      </c>
      <c r="DB6" s="166">
        <f>C6/'Utilisation by Sector'!$L$39</f>
        <v>2.0624656593406594</v>
      </c>
      <c r="DC6" s="166">
        <f>D6/'Utilisation by Sector'!$M$39</f>
        <v>15.540308480079929</v>
      </c>
      <c r="DD6" s="166">
        <f>E6/'Utilisation by Sector'!$N$39</f>
        <v>7.8022408963585441</v>
      </c>
      <c r="DE6" s="166">
        <f>F6/'Utilisation by Sector'!$O$39</f>
        <v>11.779339800604646</v>
      </c>
      <c r="DF6" s="166">
        <f>G6/'Utilisation by Sector'!$P$39</f>
        <v>0.54848788126361658</v>
      </c>
      <c r="DG6" s="166">
        <f>H6/'Utilisation by Sector'!$Q$39</f>
        <v>2.5761630373303173</v>
      </c>
      <c r="DH6" s="138">
        <f t="shared" si="38"/>
        <v>82.270798992673988</v>
      </c>
      <c r="DI6" s="138">
        <f t="shared" si="39"/>
        <v>95.748641813413258</v>
      </c>
      <c r="DJ6" s="138">
        <f t="shared" si="40"/>
        <v>88.010574229691869</v>
      </c>
      <c r="DK6" s="138">
        <f t="shared" si="41"/>
        <v>91.987673133937975</v>
      </c>
      <c r="DL6" s="138">
        <f t="shared" si="42"/>
        <v>60.204189635649584</v>
      </c>
      <c r="DM6" s="138">
        <f t="shared" si="43"/>
        <v>0.2844963706636463</v>
      </c>
      <c r="DN6" s="138">
        <f>DH6*'W.F. at Appliance Level'!J6</f>
        <v>82.270798992673988</v>
      </c>
      <c r="DO6" s="138">
        <f>DI6*'W.F. at Appliance Level'!K6+'UCM Services Protected'!DJ6*'W.F. at Appliance Level'!L6+'UCM Services Protected'!DK6*'W.F. at Appliance Level'!M6+'UCM Services Protected'!DL6*'W.F. at Appliance Level'!N6+'UCM Services Protected'!DM6*'W.F. at Appliance Level'!O6</f>
        <v>67.247115036671275</v>
      </c>
      <c r="DP6" s="138">
        <f>DN6*'W.F. End-use Level'!T7+'UCM Services Protected'!DO6*'W.F. End-use Level'!U7</f>
        <v>70.772568282930436</v>
      </c>
      <c r="DQ6" s="133">
        <f>AG6*'W.F. at Subsector Level'!B6+'UCM Services Protected'!AY6*'W.F. at Subsector Level'!C6+'UCM Services Protected'!BQ6*'W.F. at Subsector Level'!D6+'UCM Services Protected'!CI6*'W.F. at Subsector Level'!E6+'UCM Services Protected'!DA6*'W.F. at Subsector Level'!F6+'UCM Services Protected'!DP6*'W.F. at Subsector Level'!G6</f>
        <v>70.504853844533429</v>
      </c>
    </row>
    <row r="7" spans="1:125" ht="15.75" customHeight="1" x14ac:dyDescent="0.3">
      <c r="A7" s="54" t="s">
        <v>5</v>
      </c>
      <c r="B7" s="167">
        <f>'Appliance Prices'!B7</f>
        <v>59570.793650793661</v>
      </c>
      <c r="C7" s="167">
        <f>'Appliance Prices'!C7</f>
        <v>75970.37037037038</v>
      </c>
      <c r="D7" s="167">
        <f>'Appliance Prices'!D7</f>
        <v>192855.70370370371</v>
      </c>
      <c r="E7" s="167">
        <f>'Appliance Prices'!E7</f>
        <v>10800</v>
      </c>
      <c r="F7" s="167">
        <f>'Appliance Prices'!F7</f>
        <v>308332.04633204633</v>
      </c>
      <c r="G7" s="167">
        <f>'Appliance Prices'!G7</f>
        <v>36343.079494316153</v>
      </c>
      <c r="H7" s="167">
        <f>'Appliance Prices'!H7</f>
        <v>46676.666666666672</v>
      </c>
      <c r="I7" s="167">
        <f>'Fuel Prices excl. VAT'!B6</f>
        <v>3.6200000000000003E-2</v>
      </c>
      <c r="J7" s="167">
        <f>'Fuel Prices excl. VAT'!D6</f>
        <v>0.1075</v>
      </c>
      <c r="K7" s="167">
        <f>'Fuel Prices excl. VAT'!F6</f>
        <v>8.2631578947368431E-2</v>
      </c>
      <c r="L7" s="167">
        <f>'Fuel Prices excl. VAT'!H6</f>
        <v>4.4999999999999998E-2</v>
      </c>
      <c r="M7" s="167">
        <f t="shared" si="0"/>
        <v>7.1300000000000002E-2</v>
      </c>
      <c r="N7" s="167">
        <f t="shared" si="1"/>
        <v>4.6431578947368428E-2</v>
      </c>
      <c r="O7" s="167">
        <f t="shared" si="2"/>
        <v>8.7999999999999953E-3</v>
      </c>
      <c r="P7" s="167">
        <f>B7/'Utilisation by Sector'!$K$9</f>
        <v>4.0914006628292352</v>
      </c>
      <c r="Q7" s="167">
        <f>C7/'Utilisation by Sector'!$L$9</f>
        <v>0.8696242029575364</v>
      </c>
      <c r="R7" s="167">
        <f>D7/'Utilisation by Sector'!$M$9</f>
        <v>2.2075973409306742</v>
      </c>
      <c r="S7" s="167">
        <f>E7/'Utilisation by Sector'!$N$9</f>
        <v>0.27010804321728693</v>
      </c>
      <c r="T7" s="167">
        <f>F7/'Utilisation by Sector'!$O$9</f>
        <v>3.5986466658735567</v>
      </c>
      <c r="U7" s="167">
        <f>G7/'Utilisation by Sector'!$P$9</f>
        <v>0.31812919725416799</v>
      </c>
      <c r="V7" s="167">
        <f>H7/'Utilisation by Sector'!$Q$9</f>
        <v>0.40858426704014944</v>
      </c>
      <c r="W7" s="139">
        <f t="shared" si="3"/>
        <v>75.391400662829227</v>
      </c>
      <c r="X7" s="139">
        <f t="shared" si="4"/>
        <v>72.169624202957536</v>
      </c>
      <c r="Y7" s="139">
        <f t="shared" si="5"/>
        <v>73.507597340930673</v>
      </c>
      <c r="Z7" s="139">
        <f t="shared" si="6"/>
        <v>71.570108043217289</v>
      </c>
      <c r="AA7" s="139">
        <f t="shared" si="7"/>
        <v>74.898646665873557</v>
      </c>
      <c r="AB7" s="139">
        <f t="shared" si="8"/>
        <v>46.749708144622595</v>
      </c>
      <c r="AC7" s="139">
        <f t="shared" si="9"/>
        <v>9.2085842670401448</v>
      </c>
      <c r="AD7" s="139">
        <f>W7*'W.F. at Appliance Level'!I7</f>
        <v>75.391400662829227</v>
      </c>
      <c r="AE7" s="139">
        <f>X7*'W.F. at Appliance Level'!J7</f>
        <v>72.169624202957536</v>
      </c>
      <c r="AF7" s="139">
        <f>Y7*'W.F. at Appliance Level'!K7+'UCM Services Protected'!Z7*'W.F. at Appliance Level'!L7+'UCM Services Protected'!AA7*'W.F. at Appliance Level'!M7+'UCM Services Protected'!AB7*'W.F. at Appliance Level'!N7+'UCM Services Protected'!AC7*'W.F. at Appliance Level'!O7</f>
        <v>55.186928892336852</v>
      </c>
      <c r="AG7" s="139">
        <f>AD7*'W.F. End-use Level'!E8+'UCM Services Protected'!AE7*'W.F. End-use Level'!F8+'UCM Services Protected'!AF7*'W.F. End-use Level'!G8</f>
        <v>59.720939781778938</v>
      </c>
      <c r="AH7" s="167">
        <f>B7/'Utilisation by Sector'!$K$15</f>
        <v>10.451016429963801</v>
      </c>
      <c r="AI7" s="167">
        <f>C7/'Utilisation by Sector'!$L$15</f>
        <v>4.9980506822612094</v>
      </c>
      <c r="AJ7" s="167">
        <f>D7/'Utilisation by Sector'!$M$15</f>
        <v>14.180566448801743</v>
      </c>
      <c r="AK7" s="167">
        <f>E7/'Utilisation by Sector'!$N$15</f>
        <v>1.134453781512605</v>
      </c>
      <c r="AL7" s="167">
        <f>F7/'Utilisation by Sector'!$O$15</f>
        <v>15.114315996668937</v>
      </c>
      <c r="AM7" s="167">
        <f>G7/'Utilisation by Sector'!$P$15</f>
        <v>1.3361426284675055</v>
      </c>
      <c r="AN7" s="167">
        <f>H7/'Utilisation by Sector'!$Q$15</f>
        <v>1.7160539215686277</v>
      </c>
      <c r="AO7" s="139">
        <f t="shared" si="10"/>
        <v>81.751016429963798</v>
      </c>
      <c r="AP7" s="139">
        <f t="shared" si="11"/>
        <v>76.298050682261206</v>
      </c>
      <c r="AQ7" s="139">
        <f t="shared" si="12"/>
        <v>85.480566448801738</v>
      </c>
      <c r="AR7" s="139">
        <f t="shared" si="13"/>
        <v>72.434453781512602</v>
      </c>
      <c r="AS7" s="139">
        <f t="shared" si="14"/>
        <v>86.414315996668932</v>
      </c>
      <c r="AT7" s="139">
        <f t="shared" si="15"/>
        <v>47.767721575835935</v>
      </c>
      <c r="AU7" s="139">
        <f t="shared" si="16"/>
        <v>10.516053921568624</v>
      </c>
      <c r="AV7" s="139">
        <f>AO7*'W.F. at Appliance Level'!I7</f>
        <v>81.751016429963798</v>
      </c>
      <c r="AW7" s="139">
        <f>AP7*'W.F. at Appliance Level'!J7</f>
        <v>76.298050682261206</v>
      </c>
      <c r="AX7" s="139">
        <f>AQ7*'W.F. at Appliance Level'!K7+'UCM Services Protected'!AR7*'W.F. at Appliance Level'!L7+'UCM Services Protected'!AS7*'W.F. at Appliance Level'!M7+'UCM Services Protected'!AT7*'W.F. at Appliance Level'!N7+'UCM Services Protected'!AU7*'W.F. at Appliance Level'!O7</f>
        <v>60.522622344877568</v>
      </c>
      <c r="AY7" s="139">
        <f>AV7*'W.F. End-use Level'!H8+'UCM Services Protected'!AW7*'W.F. End-use Level'!I8+'UCM Services Protected'!AX7*'W.F. End-use Level'!J8</f>
        <v>64.773214041949018</v>
      </c>
      <c r="AZ7" s="167">
        <f>B7/'Utilisation by Sector'!$K$21</f>
        <v>16.365602651316941</v>
      </c>
      <c r="BA7" s="167">
        <f>C7/'Utilisation by Sector'!$L$21</f>
        <v>0.8696242029575364</v>
      </c>
      <c r="BB7" s="167">
        <f>D7/'Utilisation by Sector'!$M$21</f>
        <v>2.2075973409306742</v>
      </c>
      <c r="BC7" s="167">
        <f>E7/'Utilisation by Sector'!$N$21</f>
        <v>0.27010804321728693</v>
      </c>
      <c r="BD7" s="167">
        <f>F7/'Utilisation by Sector'!$O$21</f>
        <v>3.5986466658735567</v>
      </c>
      <c r="BE7" s="167">
        <f>G7/'Utilisation by Sector'!$P$21</f>
        <v>0.31812919725416799</v>
      </c>
      <c r="BF7" s="167">
        <f>H7/'Utilisation by Sector'!$Q$21</f>
        <v>0.40858426704014944</v>
      </c>
      <c r="BG7" s="139">
        <f t="shared" si="17"/>
        <v>87.665602651316931</v>
      </c>
      <c r="BH7" s="139">
        <f t="shared" si="18"/>
        <v>72.169624202957536</v>
      </c>
      <c r="BI7" s="139">
        <f t="shared" si="19"/>
        <v>73.507597340930673</v>
      </c>
      <c r="BJ7" s="139">
        <f t="shared" si="20"/>
        <v>71.570108043217289</v>
      </c>
      <c r="BK7" s="139">
        <f t="shared" si="21"/>
        <v>74.898646665873557</v>
      </c>
      <c r="BL7" s="139">
        <f t="shared" si="22"/>
        <v>46.749708144622595</v>
      </c>
      <c r="BM7" s="139">
        <f t="shared" si="23"/>
        <v>9.2085842670401448</v>
      </c>
      <c r="BN7" s="139">
        <f>BG7*'W.F. at Appliance Level'!I7</f>
        <v>87.665602651316931</v>
      </c>
      <c r="BO7" s="139">
        <f>BH7*'W.F. at Appliance Level'!J7</f>
        <v>72.169624202957536</v>
      </c>
      <c r="BP7" s="139">
        <f>BI7*'W.F. at Appliance Level'!K7+'UCM Services Protected'!BJ7*'W.F. at Appliance Level'!L7+'UCM Services Protected'!BK7*'W.F. at Appliance Level'!M7+'UCM Services Protected'!BL7*'W.F. at Appliance Level'!N7+'UCM Services Protected'!BM7*'W.F. at Appliance Level'!O7</f>
        <v>55.186928892336852</v>
      </c>
      <c r="BQ7" s="139">
        <f>BN7*'W.F. End-use Level'!K8+'UCM Services Protected'!BO7*'W.F. End-use Level'!L8+'UCM Services Protected'!BP7*'W.F. End-use Level'!M8</f>
        <v>59.914988980427573</v>
      </c>
      <c r="BR7" s="167">
        <f>B7/'Utilisation by Sector'!$K$27</f>
        <v>16.365602651316941</v>
      </c>
      <c r="BS7" s="167">
        <f>C7/'Utilisation by Sector'!$L$27</f>
        <v>0.8696242029575364</v>
      </c>
      <c r="BT7" s="167">
        <f>D7/'Utilisation by Sector'!$M$27</f>
        <v>2.2075973409306742</v>
      </c>
      <c r="BU7" s="167">
        <f>E7/'Utilisation by Sector'!$N$27</f>
        <v>0.27010804321728693</v>
      </c>
      <c r="BV7" s="167">
        <f>F7/'Utilisation by Sector'!$O$27</f>
        <v>3.5986466658735567</v>
      </c>
      <c r="BW7" s="167">
        <f>G7/'Utilisation by Sector'!$P$27</f>
        <v>0.31812919725416799</v>
      </c>
      <c r="BX7" s="167">
        <f>H7/'Utilisation by Sector'!$Q$27</f>
        <v>0.40858426704014944</v>
      </c>
      <c r="BY7" s="139">
        <f t="shared" si="24"/>
        <v>87.665602651316931</v>
      </c>
      <c r="BZ7" s="139">
        <f t="shared" si="25"/>
        <v>72.169624202957536</v>
      </c>
      <c r="CA7" s="139">
        <f t="shared" si="26"/>
        <v>73.507597340930673</v>
      </c>
      <c r="CB7" s="139">
        <f t="shared" si="27"/>
        <v>71.570108043217289</v>
      </c>
      <c r="CC7" s="139">
        <f t="shared" si="28"/>
        <v>74.898646665873557</v>
      </c>
      <c r="CD7" s="139">
        <f t="shared" si="29"/>
        <v>46.749708144622595</v>
      </c>
      <c r="CE7" s="139">
        <f t="shared" si="30"/>
        <v>9.2085842670401448</v>
      </c>
      <c r="CF7" s="139">
        <f>BY7*'W.F. at Appliance Level'!I7</f>
        <v>87.665602651316931</v>
      </c>
      <c r="CG7" s="139">
        <f>BZ7*'W.F. at Appliance Level'!J7</f>
        <v>72.169624202957536</v>
      </c>
      <c r="CH7" s="139">
        <f>CA7*'W.F. at Appliance Level'!K7+'UCM Services Protected'!CB7*'W.F. at Appliance Level'!L7+'UCM Services Protected'!CC7*'W.F. at Appliance Level'!M7+'UCM Services Protected'!CD7*'W.F. at Appliance Level'!N7+'UCM Services Protected'!CE7*'W.F. at Appliance Level'!O7</f>
        <v>55.186928892336852</v>
      </c>
      <c r="CI7" s="139">
        <f>CF7*'W.F. End-use Level'!N8+'UCM Services Protected'!CG7*'W.F. End-use Level'!O8+'UCM Services Protected'!CH7*'W.F. End-use Level'!P8</f>
        <v>59.914988980427573</v>
      </c>
      <c r="CJ7" s="167">
        <f>B7/'Utilisation by Sector'!$K$33</f>
        <v>4.0914006628292352</v>
      </c>
      <c r="CK7" s="167">
        <f>C7/'Utilisation by Sector'!$L$33</f>
        <v>0.8696242029575364</v>
      </c>
      <c r="CL7" s="167">
        <f>D7/'Utilisation by Sector'!$M$33</f>
        <v>2.2075973409306742</v>
      </c>
      <c r="CM7" s="167">
        <f>E7/'Utilisation by Sector'!$N$33</f>
        <v>0.27010804321728693</v>
      </c>
      <c r="CN7" s="167">
        <f>F7/'Utilisation by Sector'!$O$33</f>
        <v>3.5986466658735567</v>
      </c>
      <c r="CO7" s="167">
        <f>G7/'Utilisation by Sector'!$P$33</f>
        <v>0.31812919725416799</v>
      </c>
      <c r="CP7" s="167">
        <f>H7/'Utilisation by Sector'!$Q$33</f>
        <v>0.40858426704014944</v>
      </c>
      <c r="CQ7" s="139">
        <f t="shared" si="31"/>
        <v>75.391400662829227</v>
      </c>
      <c r="CR7" s="139">
        <f t="shared" si="32"/>
        <v>72.169624202957536</v>
      </c>
      <c r="CS7" s="139">
        <f t="shared" si="33"/>
        <v>73.507597340930673</v>
      </c>
      <c r="CT7" s="139">
        <f t="shared" si="34"/>
        <v>71.570108043217289</v>
      </c>
      <c r="CU7" s="139">
        <f t="shared" si="35"/>
        <v>74.898646665873557</v>
      </c>
      <c r="CV7" s="139">
        <f t="shared" si="36"/>
        <v>46.749708144622595</v>
      </c>
      <c r="CW7" s="139">
        <f t="shared" si="37"/>
        <v>9.2085842670401448</v>
      </c>
      <c r="CX7" s="139">
        <f>CQ7*'W.F. at Appliance Level'!I7</f>
        <v>75.391400662829227</v>
      </c>
      <c r="CY7" s="139">
        <f>CR7*'W.F. at Appliance Level'!J7</f>
        <v>72.169624202957536</v>
      </c>
      <c r="CZ7" s="139">
        <f>CS7*'W.F. at Appliance Level'!K7+'UCM Services Protected'!CT7*'W.F. at Appliance Level'!L7+'UCM Services Protected'!CU7*'W.F. at Appliance Level'!M7+'UCM Services Protected'!CV7*'W.F. at Appliance Level'!N7+'UCM Services Protected'!CW7*'W.F. at Appliance Level'!O7</f>
        <v>55.186928892336852</v>
      </c>
      <c r="DA7" s="139">
        <f>CX7*'W.F. End-use Level'!Q8+'UCM Services Protected'!CY7*'W.F. End-use Level'!R8+'UCM Services Protected'!CZ7*'W.F. End-use Level'!S8</f>
        <v>59.720939781778938</v>
      </c>
      <c r="DB7" s="167">
        <f>C7/'Utilisation by Sector'!$L$39</f>
        <v>3.6524216524216531</v>
      </c>
      <c r="DC7" s="167">
        <f>D7/'Utilisation by Sector'!$M$39</f>
        <v>14.180566448801743</v>
      </c>
      <c r="DD7" s="167">
        <f>E7/'Utilisation by Sector'!$N$39</f>
        <v>1.134453781512605</v>
      </c>
      <c r="DE7" s="167">
        <f>F7/'Utilisation by Sector'!$O$39</f>
        <v>15.114315996668937</v>
      </c>
      <c r="DF7" s="167">
        <f>G7/'Utilisation by Sector'!$P$39</f>
        <v>1.3361426284675055</v>
      </c>
      <c r="DG7" s="167">
        <f>H7/'Utilisation by Sector'!$Q$39</f>
        <v>1.7160539215686277</v>
      </c>
      <c r="DH7" s="139">
        <f t="shared" si="38"/>
        <v>74.952421652421648</v>
      </c>
      <c r="DI7" s="139">
        <f t="shared" si="39"/>
        <v>85.480566448801738</v>
      </c>
      <c r="DJ7" s="139">
        <f t="shared" si="40"/>
        <v>72.434453781512602</v>
      </c>
      <c r="DK7" s="139">
        <f t="shared" si="41"/>
        <v>86.414315996668932</v>
      </c>
      <c r="DL7" s="139">
        <f t="shared" si="42"/>
        <v>47.767721575835935</v>
      </c>
      <c r="DM7" s="139">
        <f t="shared" si="43"/>
        <v>10.516053921568624</v>
      </c>
      <c r="DN7" s="139">
        <f>DH7*'W.F. at Appliance Level'!J7</f>
        <v>74.952421652421648</v>
      </c>
      <c r="DO7" s="139">
        <f>DI7*'W.F. at Appliance Level'!K7+'UCM Services Protected'!DJ7*'W.F. at Appliance Level'!L7+'UCM Services Protected'!DK7*'W.F. at Appliance Level'!M7+'UCM Services Protected'!DL7*'W.F. at Appliance Level'!N7+'UCM Services Protected'!DM7*'W.F. at Appliance Level'!O7</f>
        <v>60.522622344877568</v>
      </c>
      <c r="DP7" s="139">
        <f>DN7*'W.F. End-use Level'!T8+'UCM Services Protected'!DO7*'W.F. End-use Level'!U8</f>
        <v>64.161183123080846</v>
      </c>
      <c r="DQ7" s="134">
        <f>AG7*'W.F. at Subsector Level'!B7+'UCM Services Protected'!AY7*'W.F. at Subsector Level'!C7+'UCM Services Protected'!BQ7*'W.F. at Subsector Level'!D7+'UCM Services Protected'!CI7*'W.F. at Subsector Level'!E7+'UCM Services Protected'!DA7*'W.F. at Subsector Level'!F7+'UCM Services Protected'!DP7*'W.F. at Subsector Level'!G7</f>
        <v>61.367709114907157</v>
      </c>
    </row>
    <row r="8" spans="1:125" ht="15.75" customHeight="1" x14ac:dyDescent="0.3">
      <c r="A8" s="54" t="s">
        <v>6</v>
      </c>
      <c r="B8" s="166">
        <f>'Appliance Prices'!B8</f>
        <v>124284.25287356324</v>
      </c>
      <c r="C8" s="166">
        <f>'Appliance Prices'!C8</f>
        <v>51371.944444444453</v>
      </c>
      <c r="D8" s="166">
        <f>'Appliance Prices'!D8</f>
        <v>167492.4856321839</v>
      </c>
      <c r="E8" s="166">
        <f>'Appliance Prices'!E8</f>
        <v>52831.25</v>
      </c>
      <c r="F8" s="166">
        <f>'Appliance Prices'!F8</f>
        <v>360680.80467372132</v>
      </c>
      <c r="G8" s="166">
        <f>'Appliance Prices'!G8</f>
        <v>9550</v>
      </c>
      <c r="H8" s="166">
        <f>'Appliance Prices'!H8</f>
        <v>73290.660919540242</v>
      </c>
      <c r="I8" s="166">
        <f>'Fuel Prices excl. VAT'!B7</f>
        <v>3.1199999999999999E-2</v>
      </c>
      <c r="J8" s="166">
        <f>'Fuel Prices excl. VAT'!D7</f>
        <v>0.13100000000000001</v>
      </c>
      <c r="K8" s="166">
        <f>'Fuel Prices excl. VAT'!F7</f>
        <v>7.0934736842105273E-2</v>
      </c>
      <c r="L8" s="166">
        <f>'Fuel Prices excl. VAT'!H7</f>
        <v>4.4999999999999998E-2</v>
      </c>
      <c r="M8" s="166">
        <f t="shared" si="0"/>
        <v>9.98E-2</v>
      </c>
      <c r="N8" s="166">
        <f t="shared" si="1"/>
        <v>3.9734736842105274E-2</v>
      </c>
      <c r="O8" s="166">
        <f t="shared" si="2"/>
        <v>1.38E-2</v>
      </c>
      <c r="P8" s="166">
        <f>B8/'Utilisation by Sector'!$K$9</f>
        <v>8.5360063786787936</v>
      </c>
      <c r="Q8" s="166">
        <f>C8/'Utilisation by Sector'!$L$9</f>
        <v>0.58804881461131475</v>
      </c>
      <c r="R8" s="166">
        <f>D8/'Utilisation by Sector'!$M$9</f>
        <v>1.9172674637383689</v>
      </c>
      <c r="S8" s="166">
        <f>E8/'Utilisation by Sector'!$N$9</f>
        <v>1.3213097739095638</v>
      </c>
      <c r="T8" s="166">
        <f>F8/'Utilisation by Sector'!$O$9</f>
        <v>4.2096265718221444</v>
      </c>
      <c r="U8" s="166">
        <f>G8/'Utilisation by Sector'!$P$9</f>
        <v>8.3595938375350134E-2</v>
      </c>
      <c r="V8" s="166">
        <f>H8/'Utilisation by Sector'!$Q$9</f>
        <v>0.64154990300717996</v>
      </c>
      <c r="W8" s="138">
        <f t="shared" si="3"/>
        <v>108.33600637867879</v>
      </c>
      <c r="X8" s="138">
        <f t="shared" si="4"/>
        <v>100.38804881461131</v>
      </c>
      <c r="Y8" s="138">
        <f t="shared" si="5"/>
        <v>101.71726746373837</v>
      </c>
      <c r="Z8" s="138">
        <f t="shared" si="6"/>
        <v>101.12130977390956</v>
      </c>
      <c r="AA8" s="138">
        <f t="shared" si="7"/>
        <v>104.00962657182214</v>
      </c>
      <c r="AB8" s="138">
        <f t="shared" si="8"/>
        <v>39.818332780480624</v>
      </c>
      <c r="AC8" s="138">
        <f t="shared" si="9"/>
        <v>14.441549903007179</v>
      </c>
      <c r="AD8" s="138">
        <f>W8*'W.F. at Appliance Level'!I8</f>
        <v>108.33600637867879</v>
      </c>
      <c r="AE8" s="138">
        <f>X8*'W.F. at Appliance Level'!J8</f>
        <v>100.38804881461131</v>
      </c>
      <c r="AF8" s="138">
        <f>Y8*'W.F. at Appliance Level'!K8+'UCM Services Protected'!Z8*'W.F. at Appliance Level'!L8+'UCM Services Protected'!AA8*'W.F. at Appliance Level'!M8+'UCM Services Protected'!AB8*'W.F. at Appliance Level'!N8+'UCM Services Protected'!AC8*'W.F. at Appliance Level'!O8</f>
        <v>72.221617298591582</v>
      </c>
      <c r="AG8" s="138">
        <f>AD8*'W.F. End-use Level'!E9+'UCM Services Protected'!AE8*'W.F. End-use Level'!F9+'UCM Services Protected'!AF8*'W.F. End-use Level'!G9</f>
        <v>79.284769602796374</v>
      </c>
      <c r="AH8" s="166">
        <f>B8/'Utilisation by Sector'!$K$15</f>
        <v>21.804254890098814</v>
      </c>
      <c r="AI8" s="166">
        <f>C8/'Utilisation by Sector'!$L$15</f>
        <v>3.3797331871345033</v>
      </c>
      <c r="AJ8" s="166">
        <f>D8/'Utilisation by Sector'!$M$15</f>
        <v>12.315623943542935</v>
      </c>
      <c r="AK8" s="166">
        <f>E8/'Utilisation by Sector'!$N$15</f>
        <v>5.5495010504201678</v>
      </c>
      <c r="AL8" s="166">
        <f>F8/'Utilisation by Sector'!$O$15</f>
        <v>17.680431601653005</v>
      </c>
      <c r="AM8" s="166">
        <f>G8/'Utilisation by Sector'!$P$15</f>
        <v>0.35110294117647056</v>
      </c>
      <c r="AN8" s="166">
        <f>H8/'Utilisation by Sector'!$Q$15</f>
        <v>2.6945095926301561</v>
      </c>
      <c r="AO8" s="138">
        <f t="shared" si="10"/>
        <v>121.60425489009882</v>
      </c>
      <c r="AP8" s="138">
        <f t="shared" si="11"/>
        <v>103.1797331871345</v>
      </c>
      <c r="AQ8" s="138">
        <f t="shared" si="12"/>
        <v>112.11562394354293</v>
      </c>
      <c r="AR8" s="138">
        <f t="shared" si="13"/>
        <v>105.34950105042016</v>
      </c>
      <c r="AS8" s="138">
        <f t="shared" si="14"/>
        <v>117.48043160165301</v>
      </c>
      <c r="AT8" s="138">
        <f t="shared" si="15"/>
        <v>40.085839783281742</v>
      </c>
      <c r="AU8" s="138">
        <f t="shared" si="16"/>
        <v>16.494509592630155</v>
      </c>
      <c r="AV8" s="138">
        <f>AO8*'W.F. at Appliance Level'!I8</f>
        <v>121.60425489009882</v>
      </c>
      <c r="AW8" s="138">
        <f>AP8*'W.F. at Appliance Level'!J8</f>
        <v>103.1797331871345</v>
      </c>
      <c r="AX8" s="138">
        <f>AQ8*'W.F. at Appliance Level'!K8+'UCM Services Protected'!AR8*'W.F. at Appliance Level'!L8+'UCM Services Protected'!AS8*'W.F. at Appliance Level'!M8+'UCM Services Protected'!AT8*'W.F. at Appliance Level'!N8+'UCM Services Protected'!AU8*'W.F. at Appliance Level'!O8</f>
        <v>78.305181194305604</v>
      </c>
      <c r="AY8" s="138">
        <f>AV8*'W.F. End-use Level'!H9+'UCM Services Protected'!AW8*'W.F. End-use Level'!I9+'UCM Services Protected'!AX8*'W.F. End-use Level'!J9</f>
        <v>85.489642957266682</v>
      </c>
      <c r="AZ8" s="166">
        <f>B8/'Utilisation by Sector'!$K$21</f>
        <v>34.144025514715175</v>
      </c>
      <c r="BA8" s="166">
        <f>C8/'Utilisation by Sector'!$L$21</f>
        <v>0.58804881461131475</v>
      </c>
      <c r="BB8" s="166">
        <f>D8/'Utilisation by Sector'!$M$21</f>
        <v>1.9172674637383689</v>
      </c>
      <c r="BC8" s="166">
        <f>E8/'Utilisation by Sector'!$N$21</f>
        <v>1.3213097739095638</v>
      </c>
      <c r="BD8" s="166">
        <f>F8/'Utilisation by Sector'!$O$21</f>
        <v>4.2096265718221444</v>
      </c>
      <c r="BE8" s="166">
        <f>G8/'Utilisation by Sector'!$P$21</f>
        <v>8.3595938375350134E-2</v>
      </c>
      <c r="BF8" s="166">
        <f>H8/'Utilisation by Sector'!$Q$21</f>
        <v>0.64154990300717996</v>
      </c>
      <c r="BG8" s="138">
        <f t="shared" si="17"/>
        <v>133.94402551471518</v>
      </c>
      <c r="BH8" s="138">
        <f t="shared" si="18"/>
        <v>100.38804881461131</v>
      </c>
      <c r="BI8" s="138">
        <f t="shared" si="19"/>
        <v>101.71726746373837</v>
      </c>
      <c r="BJ8" s="138">
        <f t="shared" si="20"/>
        <v>101.12130977390956</v>
      </c>
      <c r="BK8" s="138">
        <f t="shared" si="21"/>
        <v>104.00962657182214</v>
      </c>
      <c r="BL8" s="138">
        <f t="shared" si="22"/>
        <v>39.818332780480624</v>
      </c>
      <c r="BM8" s="138">
        <f t="shared" si="23"/>
        <v>14.441549903007179</v>
      </c>
      <c r="BN8" s="138">
        <f>BG8*'W.F. at Appliance Level'!I8</f>
        <v>133.94402551471518</v>
      </c>
      <c r="BO8" s="138">
        <f>BH8*'W.F. at Appliance Level'!J8</f>
        <v>100.38804881461131</v>
      </c>
      <c r="BP8" s="138">
        <f>BI8*'W.F. at Appliance Level'!K8+'UCM Services Protected'!BJ8*'W.F. at Appliance Level'!L8+'UCM Services Protected'!BK8*'W.F. at Appliance Level'!M8+'UCM Services Protected'!BL8*'W.F. at Appliance Level'!N8+'UCM Services Protected'!BM8*'W.F. at Appliance Level'!O8</f>
        <v>72.221617298591582</v>
      </c>
      <c r="BQ8" s="138">
        <f>BN8*'W.F. End-use Level'!K9+'UCM Services Protected'!BO8*'W.F. End-use Level'!L9+'UCM Services Protected'!BP8*'W.F. End-use Level'!M9</f>
        <v>81.41055850531211</v>
      </c>
      <c r="BR8" s="166">
        <f>B8/'Utilisation by Sector'!$K$27</f>
        <v>34.144025514715175</v>
      </c>
      <c r="BS8" s="166">
        <f>C8/'Utilisation by Sector'!$L$27</f>
        <v>0.58804881461131475</v>
      </c>
      <c r="BT8" s="166">
        <f>D8/'Utilisation by Sector'!$M$27</f>
        <v>1.9172674637383689</v>
      </c>
      <c r="BU8" s="166">
        <f>E8/'Utilisation by Sector'!$N$27</f>
        <v>1.3213097739095638</v>
      </c>
      <c r="BV8" s="166">
        <f>F8/'Utilisation by Sector'!$O$27</f>
        <v>4.2096265718221444</v>
      </c>
      <c r="BW8" s="166">
        <f>G8/'Utilisation by Sector'!$P$27</f>
        <v>8.3595938375350134E-2</v>
      </c>
      <c r="BX8" s="166">
        <f>H8/'Utilisation by Sector'!$Q$27</f>
        <v>0.64154990300717996</v>
      </c>
      <c r="BY8" s="138">
        <f t="shared" si="24"/>
        <v>133.94402551471518</v>
      </c>
      <c r="BZ8" s="138">
        <f t="shared" si="25"/>
        <v>100.38804881461131</v>
      </c>
      <c r="CA8" s="138">
        <f t="shared" si="26"/>
        <v>101.71726746373837</v>
      </c>
      <c r="CB8" s="138">
        <f t="shared" si="27"/>
        <v>101.12130977390956</v>
      </c>
      <c r="CC8" s="138">
        <f t="shared" si="28"/>
        <v>104.00962657182214</v>
      </c>
      <c r="CD8" s="138">
        <f t="shared" si="29"/>
        <v>39.818332780480624</v>
      </c>
      <c r="CE8" s="138">
        <f t="shared" si="30"/>
        <v>14.441549903007179</v>
      </c>
      <c r="CF8" s="138">
        <f>BY8*'W.F. at Appliance Level'!I8</f>
        <v>133.94402551471518</v>
      </c>
      <c r="CG8" s="138">
        <f>BZ8*'W.F. at Appliance Level'!J8</f>
        <v>100.38804881461131</v>
      </c>
      <c r="CH8" s="138">
        <f>CA8*'W.F. at Appliance Level'!K8+'UCM Services Protected'!CB8*'W.F. at Appliance Level'!L8+'UCM Services Protected'!CC8*'W.F. at Appliance Level'!M8+'UCM Services Protected'!CD8*'W.F. at Appliance Level'!N8+'UCM Services Protected'!CE8*'W.F. at Appliance Level'!O8</f>
        <v>72.221617298591582</v>
      </c>
      <c r="CI8" s="138">
        <f>CF8*'W.F. End-use Level'!N9+'UCM Services Protected'!CG8*'W.F. End-use Level'!O9+'UCM Services Protected'!CH8*'W.F. End-use Level'!P9</f>
        <v>81.41055850531211</v>
      </c>
      <c r="CJ8" s="166">
        <f>B8/'Utilisation by Sector'!$K$33</f>
        <v>8.5360063786787936</v>
      </c>
      <c r="CK8" s="166">
        <f>C8/'Utilisation by Sector'!$L$33</f>
        <v>0.58804881461131475</v>
      </c>
      <c r="CL8" s="166">
        <f>D8/'Utilisation by Sector'!$M$33</f>
        <v>1.9172674637383689</v>
      </c>
      <c r="CM8" s="166">
        <f>E8/'Utilisation by Sector'!$N$33</f>
        <v>1.3213097739095638</v>
      </c>
      <c r="CN8" s="166">
        <f>F8/'Utilisation by Sector'!$O$33</f>
        <v>4.2096265718221444</v>
      </c>
      <c r="CO8" s="166">
        <f>G8/'Utilisation by Sector'!$P$33</f>
        <v>8.3595938375350134E-2</v>
      </c>
      <c r="CP8" s="166">
        <f>H8/'Utilisation by Sector'!$Q$33</f>
        <v>0.64154990300717996</v>
      </c>
      <c r="CQ8" s="138">
        <f t="shared" si="31"/>
        <v>108.33600637867879</v>
      </c>
      <c r="CR8" s="138">
        <f t="shared" si="32"/>
        <v>100.38804881461131</v>
      </c>
      <c r="CS8" s="138">
        <f t="shared" si="33"/>
        <v>101.71726746373837</v>
      </c>
      <c r="CT8" s="138">
        <f t="shared" si="34"/>
        <v>101.12130977390956</v>
      </c>
      <c r="CU8" s="138">
        <f t="shared" si="35"/>
        <v>104.00962657182214</v>
      </c>
      <c r="CV8" s="138">
        <f t="shared" si="36"/>
        <v>39.818332780480624</v>
      </c>
      <c r="CW8" s="138">
        <f t="shared" si="37"/>
        <v>14.441549903007179</v>
      </c>
      <c r="CX8" s="138">
        <f>CQ8*'W.F. at Appliance Level'!I8</f>
        <v>108.33600637867879</v>
      </c>
      <c r="CY8" s="138">
        <f>CR8*'W.F. at Appliance Level'!J8</f>
        <v>100.38804881461131</v>
      </c>
      <c r="CZ8" s="138">
        <f>CS8*'W.F. at Appliance Level'!K8+'UCM Services Protected'!CT8*'W.F. at Appliance Level'!L8+'UCM Services Protected'!CU8*'W.F. at Appliance Level'!M8+'UCM Services Protected'!CV8*'W.F. at Appliance Level'!N8+'UCM Services Protected'!CW8*'W.F. at Appliance Level'!O8</f>
        <v>72.221617298591582</v>
      </c>
      <c r="DA8" s="138">
        <f>CX8*'W.F. End-use Level'!Q9+'UCM Services Protected'!CY8*'W.F. End-use Level'!R9+'UCM Services Protected'!CZ8*'W.F. End-use Level'!S9</f>
        <v>79.284769602796374</v>
      </c>
      <c r="DB8" s="166">
        <f>C8/'Utilisation by Sector'!$L$39</f>
        <v>2.4698050213675216</v>
      </c>
      <c r="DC8" s="166">
        <f>D8/'Utilisation by Sector'!$M$39</f>
        <v>12.315623943542935</v>
      </c>
      <c r="DD8" s="166">
        <f>E8/'Utilisation by Sector'!$N$39</f>
        <v>5.5495010504201678</v>
      </c>
      <c r="DE8" s="166">
        <f>F8/'Utilisation by Sector'!$O$39</f>
        <v>17.680431601653005</v>
      </c>
      <c r="DF8" s="166">
        <f>G8/'Utilisation by Sector'!$P$39</f>
        <v>0.35110294117647056</v>
      </c>
      <c r="DG8" s="166">
        <f>H8/'Utilisation by Sector'!$Q$39</f>
        <v>2.6945095926301561</v>
      </c>
      <c r="DH8" s="138">
        <f t="shared" si="38"/>
        <v>102.26980502136752</v>
      </c>
      <c r="DI8" s="138">
        <f t="shared" si="39"/>
        <v>112.11562394354293</v>
      </c>
      <c r="DJ8" s="138">
        <f t="shared" si="40"/>
        <v>105.34950105042016</v>
      </c>
      <c r="DK8" s="138">
        <f t="shared" si="41"/>
        <v>117.48043160165301</v>
      </c>
      <c r="DL8" s="138">
        <f t="shared" si="42"/>
        <v>40.085839783281742</v>
      </c>
      <c r="DM8" s="138">
        <f t="shared" si="43"/>
        <v>16.494509592630155</v>
      </c>
      <c r="DN8" s="138">
        <f>DH8*'W.F. at Appliance Level'!J8</f>
        <v>102.26980502136752</v>
      </c>
      <c r="DO8" s="138">
        <f>DI8*'W.F. at Appliance Level'!K8+'UCM Services Protected'!DJ8*'W.F. at Appliance Level'!L8+'UCM Services Protected'!DK8*'W.F. at Appliance Level'!M8+'UCM Services Protected'!DL8*'W.F. at Appliance Level'!N8+'UCM Services Protected'!DM8*'W.F. at Appliance Level'!O8</f>
        <v>78.305181194305604</v>
      </c>
      <c r="DP8" s="138">
        <f>DN8*'W.F. End-use Level'!T9+'UCM Services Protected'!DO8*'W.F. End-use Level'!U9</f>
        <v>82.077058587521236</v>
      </c>
      <c r="DQ8" s="133">
        <f>AG8*'W.F. at Subsector Level'!B8+'UCM Services Protected'!AY8*'W.F. at Subsector Level'!C8+'UCM Services Protected'!BQ8*'W.F. at Subsector Level'!D8+'UCM Services Protected'!CI8*'W.F. at Subsector Level'!E8+'UCM Services Protected'!DA8*'W.F. at Subsector Level'!F8+'UCM Services Protected'!DP8*'W.F. at Subsector Level'!G8</f>
        <v>81.492892960167495</v>
      </c>
    </row>
    <row r="9" spans="1:125" ht="15.75" customHeight="1" x14ac:dyDescent="0.3">
      <c r="A9" s="54" t="s">
        <v>7</v>
      </c>
      <c r="B9" s="167">
        <f>'Appliance Prices'!B9</f>
        <v>276550.33959096466</v>
      </c>
      <c r="C9" s="167">
        <f>'Appliance Prices'!C9</f>
        <v>54395.888888888883</v>
      </c>
      <c r="D9" s="167">
        <f>'Appliance Prices'!D9</f>
        <v>125958.9632885633</v>
      </c>
      <c r="E9" s="167">
        <f>'Appliance Prices'!E9</f>
        <v>13772.333333333336</v>
      </c>
      <c r="F9" s="167">
        <f>'Appliance Prices'!F9</f>
        <v>331795.61325831705</v>
      </c>
      <c r="G9" s="167">
        <f>'Appliance Prices'!G9</f>
        <v>36343.079494316153</v>
      </c>
      <c r="H9" s="167">
        <f>'Appliance Prices'!H9</f>
        <v>58064.376315789472</v>
      </c>
      <c r="I9" s="167">
        <f>'Fuel Prices excl. VAT'!B8</f>
        <v>3.0200000000000001E-2</v>
      </c>
      <c r="J9" s="167">
        <f>'Fuel Prices excl. VAT'!D8</f>
        <v>9.2200000000000004E-2</v>
      </c>
      <c r="K9" s="167">
        <f>'Fuel Prices excl. VAT'!F8</f>
        <v>7.1578947368421061E-2</v>
      </c>
      <c r="L9" s="167">
        <f>'Fuel Prices excl. VAT'!H8</f>
        <v>4.4999999999999998E-2</v>
      </c>
      <c r="M9" s="167">
        <f t="shared" si="0"/>
        <v>6.2E-2</v>
      </c>
      <c r="N9" s="167">
        <f t="shared" si="1"/>
        <v>4.1378947368421057E-2</v>
      </c>
      <c r="O9" s="167">
        <f t="shared" si="2"/>
        <v>1.4799999999999997E-2</v>
      </c>
      <c r="P9" s="167">
        <f>B9/'Utilisation by Sector'!$K$9</f>
        <v>18.993842004873947</v>
      </c>
      <c r="Q9" s="167">
        <f>C9/'Utilisation by Sector'!$L$9</f>
        <v>0.6226635632885632</v>
      </c>
      <c r="R9" s="167">
        <f>D9/'Utilisation by Sector'!$M$9</f>
        <v>1.4418379497317229</v>
      </c>
      <c r="S9" s="167">
        <f>E9/'Utilisation by Sector'!$N$9</f>
        <v>0.34444611177804463</v>
      </c>
      <c r="T9" s="167">
        <f>F9/'Utilisation by Sector'!$O$9</f>
        <v>3.8724978204752225</v>
      </c>
      <c r="U9" s="167">
        <f>G9/'Utilisation by Sector'!$P$9</f>
        <v>0.31812919725416799</v>
      </c>
      <c r="V9" s="167">
        <f>H9/'Utilisation by Sector'!$Q$9</f>
        <v>0.50826659940291907</v>
      </c>
      <c r="W9" s="139">
        <f t="shared" si="3"/>
        <v>80.993842004873954</v>
      </c>
      <c r="X9" s="139">
        <f t="shared" si="4"/>
        <v>62.622663563288562</v>
      </c>
      <c r="Y9" s="139">
        <f t="shared" si="5"/>
        <v>63.44183794973172</v>
      </c>
      <c r="Z9" s="139">
        <f t="shared" si="6"/>
        <v>62.344446111778048</v>
      </c>
      <c r="AA9" s="139">
        <f t="shared" si="7"/>
        <v>65.872497820475218</v>
      </c>
      <c r="AB9" s="139">
        <f t="shared" si="8"/>
        <v>41.697076565675225</v>
      </c>
      <c r="AC9" s="139">
        <f t="shared" si="9"/>
        <v>15.308266599402916</v>
      </c>
      <c r="AD9" s="139">
        <f>W9*'W.F. at Appliance Level'!I9</f>
        <v>80.993842004873954</v>
      </c>
      <c r="AE9" s="139">
        <f>X9*'W.F. at Appliance Level'!J9</f>
        <v>62.622663563288562</v>
      </c>
      <c r="AF9" s="139">
        <f>Y9*'W.F. at Appliance Level'!K9+'UCM Services Protected'!Z9*'W.F. at Appliance Level'!L9+'UCM Services Protected'!AA9*'W.F. at Appliance Level'!M9+'UCM Services Protected'!AB9*'W.F. at Appliance Level'!N9+'UCM Services Protected'!AC9*'W.F. at Appliance Level'!O9</f>
        <v>49.732825009412629</v>
      </c>
      <c r="AG9" s="139">
        <f>AD9*'W.F. End-use Level'!E10+'UCM Services Protected'!AE9*'W.F. End-use Level'!F10+'UCM Services Protected'!AF9*'W.F. End-use Level'!G10</f>
        <v>61.226881922939711</v>
      </c>
      <c r="AH9" s="167">
        <f>B9/'Utilisation by Sector'!$K$15</f>
        <v>48.517603437011346</v>
      </c>
      <c r="AI9" s="167">
        <f>C9/'Utilisation by Sector'!$L$15</f>
        <v>3.5786769005847949</v>
      </c>
      <c r="AJ9" s="167">
        <f>D9/'Utilisation by Sector'!$M$15</f>
        <v>9.2616884771002432</v>
      </c>
      <c r="AK9" s="167">
        <f>E9/'Utilisation by Sector'!$N$15</f>
        <v>1.4466736694677873</v>
      </c>
      <c r="AL9" s="167">
        <f>F9/'Utilisation by Sector'!$O$15</f>
        <v>16.264490845995933</v>
      </c>
      <c r="AM9" s="167">
        <f>G9/'Utilisation by Sector'!$P$15</f>
        <v>1.3361426284675055</v>
      </c>
      <c r="AN9" s="167">
        <f>H9/'Utilisation by Sector'!$Q$15</f>
        <v>2.1347197174922599</v>
      </c>
      <c r="AO9" s="139">
        <f t="shared" si="10"/>
        <v>110.51760343701135</v>
      </c>
      <c r="AP9" s="139">
        <f t="shared" si="11"/>
        <v>65.578676900584796</v>
      </c>
      <c r="AQ9" s="139">
        <f t="shared" si="12"/>
        <v>71.26168847710025</v>
      </c>
      <c r="AR9" s="139">
        <f t="shared" si="13"/>
        <v>63.446673669467785</v>
      </c>
      <c r="AS9" s="139">
        <f t="shared" si="14"/>
        <v>78.264490845995937</v>
      </c>
      <c r="AT9" s="139">
        <f t="shared" si="15"/>
        <v>42.715089996888565</v>
      </c>
      <c r="AU9" s="139">
        <f t="shared" si="16"/>
        <v>16.934719717492257</v>
      </c>
      <c r="AV9" s="139">
        <f>AO9*'W.F. at Appliance Level'!I9</f>
        <v>110.51760343701135</v>
      </c>
      <c r="AW9" s="139">
        <f>AP9*'W.F. at Appliance Level'!J9</f>
        <v>65.578676900584796</v>
      </c>
      <c r="AX9" s="139">
        <f>AQ9*'W.F. at Appliance Level'!K9+'UCM Services Protected'!AR9*'W.F. at Appliance Level'!L9+'UCM Services Protected'!AS9*'W.F. at Appliance Level'!M9+'UCM Services Protected'!AT9*'W.F. at Appliance Level'!N9+'UCM Services Protected'!AU9*'W.F. at Appliance Level'!O9</f>
        <v>54.524532541388965</v>
      </c>
      <c r="AY9" s="139">
        <f>AV9*'W.F. End-use Level'!H10+'UCM Services Protected'!AW9*'W.F. End-use Level'!I10+'UCM Services Protected'!AX9*'W.F. End-use Level'!J10</f>
        <v>72.841059155585384</v>
      </c>
      <c r="AZ9" s="167">
        <f>B9/'Utilisation by Sector'!$K$21</f>
        <v>75.975368019495789</v>
      </c>
      <c r="BA9" s="167">
        <f>C9/'Utilisation by Sector'!$L$21</f>
        <v>0.6226635632885632</v>
      </c>
      <c r="BB9" s="167">
        <f>D9/'Utilisation by Sector'!$M$21</f>
        <v>1.4418379497317229</v>
      </c>
      <c r="BC9" s="167">
        <f>E9/'Utilisation by Sector'!$N$21</f>
        <v>0.34444611177804463</v>
      </c>
      <c r="BD9" s="167">
        <f>F9/'Utilisation by Sector'!$O$21</f>
        <v>3.8724978204752225</v>
      </c>
      <c r="BE9" s="167">
        <f>G9/'Utilisation by Sector'!$P$21</f>
        <v>0.31812919725416799</v>
      </c>
      <c r="BF9" s="167">
        <f>H9/'Utilisation by Sector'!$Q$21</f>
        <v>0.50826659940291907</v>
      </c>
      <c r="BG9" s="139">
        <f t="shared" si="17"/>
        <v>137.97536801949579</v>
      </c>
      <c r="BH9" s="139">
        <f t="shared" si="18"/>
        <v>62.622663563288562</v>
      </c>
      <c r="BI9" s="139">
        <f t="shared" si="19"/>
        <v>63.44183794973172</v>
      </c>
      <c r="BJ9" s="139">
        <f t="shared" si="20"/>
        <v>62.344446111778048</v>
      </c>
      <c r="BK9" s="139">
        <f t="shared" si="21"/>
        <v>65.872497820475218</v>
      </c>
      <c r="BL9" s="139">
        <f t="shared" si="22"/>
        <v>41.697076565675225</v>
      </c>
      <c r="BM9" s="139">
        <f t="shared" si="23"/>
        <v>15.308266599402916</v>
      </c>
      <c r="BN9" s="139">
        <f>BG9*'W.F. at Appliance Level'!I9</f>
        <v>137.97536801949579</v>
      </c>
      <c r="BO9" s="139">
        <f>BH9*'W.F. at Appliance Level'!J9</f>
        <v>62.622663563288562</v>
      </c>
      <c r="BP9" s="139">
        <f>BI9*'W.F. at Appliance Level'!K9+'UCM Services Protected'!BJ9*'W.F. at Appliance Level'!L9+'UCM Services Protected'!BK9*'W.F. at Appliance Level'!M9+'UCM Services Protected'!BL9*'W.F. at Appliance Level'!N9+'UCM Services Protected'!BM9*'W.F. at Appliance Level'!O9</f>
        <v>49.732825009412629</v>
      </c>
      <c r="BQ9" s="139">
        <f>BN9*'W.F. End-use Level'!K10+'UCM Services Protected'!BO9*'W.F. End-use Level'!L10+'UCM Services Protected'!BP9*'W.F. End-use Level'!M10</f>
        <v>77.743728086195432</v>
      </c>
      <c r="BR9" s="167">
        <f>B9/'Utilisation by Sector'!$K$27</f>
        <v>75.975368019495789</v>
      </c>
      <c r="BS9" s="167">
        <f>C9/'Utilisation by Sector'!$L$27</f>
        <v>0.6226635632885632</v>
      </c>
      <c r="BT9" s="167">
        <f>D9/'Utilisation by Sector'!$M$27</f>
        <v>1.4418379497317229</v>
      </c>
      <c r="BU9" s="167">
        <f>E9/'Utilisation by Sector'!$N$27</f>
        <v>0.34444611177804463</v>
      </c>
      <c r="BV9" s="167">
        <f>F9/'Utilisation by Sector'!$O$27</f>
        <v>3.8724978204752225</v>
      </c>
      <c r="BW9" s="167">
        <f>G9/'Utilisation by Sector'!$P$27</f>
        <v>0.31812919725416799</v>
      </c>
      <c r="BX9" s="167">
        <f>H9/'Utilisation by Sector'!$Q$27</f>
        <v>0.50826659940291907</v>
      </c>
      <c r="BY9" s="139">
        <f t="shared" si="24"/>
        <v>137.97536801949579</v>
      </c>
      <c r="BZ9" s="139">
        <f t="shared" si="25"/>
        <v>62.622663563288562</v>
      </c>
      <c r="CA9" s="139">
        <f t="shared" si="26"/>
        <v>63.44183794973172</v>
      </c>
      <c r="CB9" s="139">
        <f t="shared" si="27"/>
        <v>62.344446111778048</v>
      </c>
      <c r="CC9" s="139">
        <f t="shared" si="28"/>
        <v>65.872497820475218</v>
      </c>
      <c r="CD9" s="139">
        <f t="shared" si="29"/>
        <v>41.697076565675225</v>
      </c>
      <c r="CE9" s="139">
        <f t="shared" si="30"/>
        <v>15.308266599402916</v>
      </c>
      <c r="CF9" s="139">
        <f>BY9*'W.F. at Appliance Level'!I9</f>
        <v>137.97536801949579</v>
      </c>
      <c r="CG9" s="139">
        <f>BZ9*'W.F. at Appliance Level'!J9</f>
        <v>62.622663563288562</v>
      </c>
      <c r="CH9" s="139">
        <f>CA9*'W.F. at Appliance Level'!K9+'UCM Services Protected'!CB9*'W.F. at Appliance Level'!L9+'UCM Services Protected'!CC9*'W.F. at Appliance Level'!M9+'UCM Services Protected'!CD9*'W.F. at Appliance Level'!N9+'UCM Services Protected'!CE9*'W.F. at Appliance Level'!O9</f>
        <v>49.732825009412629</v>
      </c>
      <c r="CI9" s="139">
        <f>CF9*'W.F. End-use Level'!N10+'UCM Services Protected'!CG9*'W.F. End-use Level'!O10+'UCM Services Protected'!CH9*'W.F. End-use Level'!P10</f>
        <v>77.743728086195432</v>
      </c>
      <c r="CJ9" s="167">
        <f>B9/'Utilisation by Sector'!$K$33</f>
        <v>18.993842004873947</v>
      </c>
      <c r="CK9" s="167">
        <f>C9/'Utilisation by Sector'!$L$33</f>
        <v>0.6226635632885632</v>
      </c>
      <c r="CL9" s="167">
        <f>D9/'Utilisation by Sector'!$M$33</f>
        <v>1.4418379497317229</v>
      </c>
      <c r="CM9" s="167">
        <f>E9/'Utilisation by Sector'!$N$33</f>
        <v>0.34444611177804463</v>
      </c>
      <c r="CN9" s="167">
        <f>F9/'Utilisation by Sector'!$O$33</f>
        <v>3.8724978204752225</v>
      </c>
      <c r="CO9" s="167">
        <f>G9/'Utilisation by Sector'!$P$33</f>
        <v>0.31812919725416799</v>
      </c>
      <c r="CP9" s="167">
        <f>H9/'Utilisation by Sector'!$Q$33</f>
        <v>0.50826659940291907</v>
      </c>
      <c r="CQ9" s="139">
        <f t="shared" si="31"/>
        <v>80.993842004873954</v>
      </c>
      <c r="CR9" s="139">
        <f t="shared" si="32"/>
        <v>62.622663563288562</v>
      </c>
      <c r="CS9" s="139">
        <f t="shared" si="33"/>
        <v>63.44183794973172</v>
      </c>
      <c r="CT9" s="139">
        <f t="shared" si="34"/>
        <v>62.344446111778048</v>
      </c>
      <c r="CU9" s="139">
        <f t="shared" si="35"/>
        <v>65.872497820475218</v>
      </c>
      <c r="CV9" s="139">
        <f t="shared" si="36"/>
        <v>41.697076565675225</v>
      </c>
      <c r="CW9" s="139">
        <f t="shared" si="37"/>
        <v>15.308266599402916</v>
      </c>
      <c r="CX9" s="139">
        <f>CQ9*'W.F. at Appliance Level'!I9</f>
        <v>80.993842004873954</v>
      </c>
      <c r="CY9" s="139">
        <f>CR9*'W.F. at Appliance Level'!J9</f>
        <v>62.622663563288562</v>
      </c>
      <c r="CZ9" s="139">
        <f>CS9*'W.F. at Appliance Level'!K9+'UCM Services Protected'!CT9*'W.F. at Appliance Level'!L9+'UCM Services Protected'!CU9*'W.F. at Appliance Level'!M9+'UCM Services Protected'!CV9*'W.F. at Appliance Level'!N9+'UCM Services Protected'!CW9*'W.F. at Appliance Level'!O9</f>
        <v>49.732825009412629</v>
      </c>
      <c r="DA9" s="139">
        <f>CX9*'W.F. End-use Level'!Q10+'UCM Services Protected'!CY9*'W.F. End-use Level'!R10+'UCM Services Protected'!CZ9*'W.F. End-use Level'!S10</f>
        <v>61.226881922939711</v>
      </c>
      <c r="DB9" s="167">
        <f>C9/'Utilisation by Sector'!$L$39</f>
        <v>2.6151869658119655</v>
      </c>
      <c r="DC9" s="167">
        <f>D9/'Utilisation by Sector'!$M$39</f>
        <v>9.2616884771002432</v>
      </c>
      <c r="DD9" s="167">
        <f>E9/'Utilisation by Sector'!$N$39</f>
        <v>1.4466736694677873</v>
      </c>
      <c r="DE9" s="167">
        <f>F9/'Utilisation by Sector'!$O$39</f>
        <v>16.264490845995933</v>
      </c>
      <c r="DF9" s="167">
        <f>G9/'Utilisation by Sector'!$P$39</f>
        <v>1.3361426284675055</v>
      </c>
      <c r="DG9" s="167">
        <f>H9/'Utilisation by Sector'!$Q$39</f>
        <v>2.1347197174922599</v>
      </c>
      <c r="DH9" s="139">
        <f t="shared" si="38"/>
        <v>64.615186965811972</v>
      </c>
      <c r="DI9" s="139">
        <f t="shared" si="39"/>
        <v>71.26168847710025</v>
      </c>
      <c r="DJ9" s="139">
        <f t="shared" si="40"/>
        <v>63.446673669467785</v>
      </c>
      <c r="DK9" s="139">
        <f t="shared" si="41"/>
        <v>78.264490845995937</v>
      </c>
      <c r="DL9" s="139">
        <f t="shared" si="42"/>
        <v>42.715089996888565</v>
      </c>
      <c r="DM9" s="139">
        <f t="shared" si="43"/>
        <v>16.934719717492257</v>
      </c>
      <c r="DN9" s="139">
        <f>DH9*'W.F. at Appliance Level'!J9</f>
        <v>64.615186965811972</v>
      </c>
      <c r="DO9" s="139">
        <f>DI9*'W.F. at Appliance Level'!K9+'UCM Services Protected'!DJ9*'W.F. at Appliance Level'!L9+'UCM Services Protected'!DK9*'W.F. at Appliance Level'!M9+'UCM Services Protected'!DL9*'W.F. at Appliance Level'!N9+'UCM Services Protected'!DM9*'W.F. at Appliance Level'!O9</f>
        <v>54.524532541388965</v>
      </c>
      <c r="DP9" s="139">
        <f>DN9*'W.F. End-use Level'!T10+'UCM Services Protected'!DO9*'W.F. End-use Level'!U10</f>
        <v>57.206216072729831</v>
      </c>
      <c r="DQ9" s="134">
        <f>AG9*'W.F. at Subsector Level'!B9+'UCM Services Protected'!AY9*'W.F. at Subsector Level'!C9+'UCM Services Protected'!BQ9*'W.F. at Subsector Level'!D9+'UCM Services Protected'!CI9*'W.F. at Subsector Level'!E9+'UCM Services Protected'!DA9*'W.F. at Subsector Level'!F9+'UCM Services Protected'!DP9*'W.F. at Subsector Level'!G9</f>
        <v>67.998082541097602</v>
      </c>
    </row>
    <row r="10" spans="1:125" ht="15.75" customHeight="1" x14ac:dyDescent="0.3">
      <c r="A10" s="54" t="s">
        <v>8</v>
      </c>
      <c r="B10" s="166">
        <f>'Appliance Prices'!B10</f>
        <v>185000</v>
      </c>
      <c r="C10" s="166">
        <f>'Appliance Prices'!C10</f>
        <v>30080</v>
      </c>
      <c r="D10" s="166">
        <f>'Appliance Prices'!D10</f>
        <v>109063.73626373627</v>
      </c>
      <c r="E10" s="166">
        <f>'Appliance Prices'!E10</f>
        <v>29501.545454545452</v>
      </c>
      <c r="F10" s="166">
        <f>'Appliance Prices'!F10</f>
        <v>466676.67991169979</v>
      </c>
      <c r="G10" s="166">
        <f>'Appliance Prices'!G10</f>
        <v>6260.4794600938967</v>
      </c>
      <c r="H10" s="166">
        <f>'Appliance Prices'!H10</f>
        <v>14553.654354469061</v>
      </c>
      <c r="I10" s="166">
        <f>'Fuel Prices excl. VAT'!B9</f>
        <v>4.9599999999999998E-2</v>
      </c>
      <c r="J10" s="166">
        <f>'Fuel Prices excl. VAT'!D9</f>
        <v>0.1739</v>
      </c>
      <c r="K10" s="166">
        <f>'Fuel Prices excl. VAT'!F9</f>
        <v>0.10789473684210525</v>
      </c>
      <c r="L10" s="166">
        <f>'Fuel Prices excl. VAT'!H9</f>
        <v>5.5437500000000001E-2</v>
      </c>
      <c r="M10" s="166">
        <f t="shared" si="0"/>
        <v>0.12429999999999999</v>
      </c>
      <c r="N10" s="166">
        <f t="shared" si="1"/>
        <v>5.8294736842105253E-2</v>
      </c>
      <c r="O10" s="166">
        <f t="shared" si="2"/>
        <v>5.8375000000000024E-3</v>
      </c>
      <c r="P10" s="166">
        <f>B10/'Utilisation by Sector'!$K$9</f>
        <v>12.706043956043956</v>
      </c>
      <c r="Q10" s="166">
        <f>C10/'Utilisation by Sector'!$L$9</f>
        <v>0.34432234432234432</v>
      </c>
      <c r="R10" s="166">
        <f>D10/'Utilisation by Sector'!$M$9</f>
        <v>1.2484402044841605</v>
      </c>
      <c r="S10" s="166">
        <f>E10/'Utilisation by Sector'!$N$9</f>
        <v>0.73783376987158489</v>
      </c>
      <c r="T10" s="166">
        <f>F10/'Utilisation by Sector'!$O$9</f>
        <v>5.4467399616211463</v>
      </c>
      <c r="U10" s="166">
        <f>G10/'Utilisation by Sector'!$P$9</f>
        <v>5.4801115722110438E-2</v>
      </c>
      <c r="V10" s="166">
        <f>H10/'Utilisation by Sector'!$Q$9</f>
        <v>0.12739543377511434</v>
      </c>
      <c r="W10" s="138">
        <f t="shared" si="3"/>
        <v>137.00604395604395</v>
      </c>
      <c r="X10" s="138">
        <f t="shared" si="4"/>
        <v>124.64432234432235</v>
      </c>
      <c r="Y10" s="138">
        <f t="shared" si="5"/>
        <v>125.54844020448415</v>
      </c>
      <c r="Z10" s="138">
        <f t="shared" si="6"/>
        <v>125.03783376987158</v>
      </c>
      <c r="AA10" s="138">
        <f t="shared" si="7"/>
        <v>129.74673996162113</v>
      </c>
      <c r="AB10" s="138">
        <f t="shared" si="8"/>
        <v>58.349537957827366</v>
      </c>
      <c r="AC10" s="138">
        <f t="shared" si="9"/>
        <v>5.9648954337751166</v>
      </c>
      <c r="AD10" s="138">
        <f>W10*'W.F. at Appliance Level'!I10</f>
        <v>137.00604395604395</v>
      </c>
      <c r="AE10" s="138">
        <f>X10*'W.F. at Appliance Level'!J10</f>
        <v>124.64432234432235</v>
      </c>
      <c r="AF10" s="138">
        <f>Y10*'W.F. at Appliance Level'!K10+'UCM Services Protected'!Z10*'W.F. at Appliance Level'!L10+'UCM Services Protected'!AA10*'W.F. at Appliance Level'!M10+'UCM Services Protected'!AB10*'W.F. at Appliance Level'!N10+'UCM Services Protected'!AC10*'W.F. at Appliance Level'!O10</f>
        <v>88.929489465515857</v>
      </c>
      <c r="AG10" s="138">
        <f>AD10*'W.F. End-use Level'!E11+'UCM Services Protected'!AE10*'W.F. End-use Level'!F11+'UCM Services Protected'!AF10*'W.F. End-use Level'!G11</f>
        <v>95.550465601663149</v>
      </c>
      <c r="AH10" s="166">
        <f>B10/'Utilisation by Sector'!$K$15</f>
        <v>32.456140350877192</v>
      </c>
      <c r="AI10" s="166">
        <f>C10/'Utilisation by Sector'!$L$15</f>
        <v>1.9789473684210526</v>
      </c>
      <c r="AJ10" s="166">
        <f>D10/'Utilisation by Sector'!$M$15</f>
        <v>8.0193923723335487</v>
      </c>
      <c r="AK10" s="166">
        <f>E10/'Utilisation by Sector'!$N$15</f>
        <v>3.0989018334606566</v>
      </c>
      <c r="AL10" s="166">
        <f>F10/'Utilisation by Sector'!$O$15</f>
        <v>22.876307838808813</v>
      </c>
      <c r="AM10" s="166">
        <f>G10/'Utilisation by Sector'!$P$15</f>
        <v>0.23016468603286386</v>
      </c>
      <c r="AN10" s="166">
        <f>H10/'Utilisation by Sector'!$Q$15</f>
        <v>0.53506082185548021</v>
      </c>
      <c r="AO10" s="138">
        <f t="shared" si="10"/>
        <v>156.75614035087719</v>
      </c>
      <c r="AP10" s="138">
        <f t="shared" si="11"/>
        <v>126.27894736842104</v>
      </c>
      <c r="AQ10" s="138">
        <f t="shared" si="12"/>
        <v>132.31939237233354</v>
      </c>
      <c r="AR10" s="138">
        <f t="shared" si="13"/>
        <v>127.39890183346066</v>
      </c>
      <c r="AS10" s="138">
        <f t="shared" si="14"/>
        <v>147.17630783880881</v>
      </c>
      <c r="AT10" s="138">
        <f t="shared" si="15"/>
        <v>58.524901528138116</v>
      </c>
      <c r="AU10" s="138">
        <f t="shared" si="16"/>
        <v>6.3725608218554823</v>
      </c>
      <c r="AV10" s="138">
        <f>AO10*'W.F. at Appliance Level'!I10</f>
        <v>156.75614035087719</v>
      </c>
      <c r="AW10" s="138">
        <f>AP10*'W.F. at Appliance Level'!J10</f>
        <v>126.27894736842104</v>
      </c>
      <c r="AX10" s="138">
        <f>AQ10*'W.F. at Appliance Level'!K10+'UCM Services Protected'!AR10*'W.F. at Appliance Level'!L10+'UCM Services Protected'!AS10*'W.F. at Appliance Level'!M10+'UCM Services Protected'!AT10*'W.F. at Appliance Level'!N10+'UCM Services Protected'!AU10*'W.F. at Appliance Level'!O10</f>
        <v>94.358412878919339</v>
      </c>
      <c r="AY10" s="138">
        <f>AV10*'W.F. End-use Level'!H11+'UCM Services Protected'!AW10*'W.F. End-use Level'!I11+'UCM Services Protected'!AX10*'W.F. End-use Level'!J11</f>
        <v>100.35369999691747</v>
      </c>
      <c r="AZ10" s="166">
        <f>B10/'Utilisation by Sector'!$K$21</f>
        <v>50.824175824175825</v>
      </c>
      <c r="BA10" s="166">
        <f>C10/'Utilisation by Sector'!$L$21</f>
        <v>0.34432234432234432</v>
      </c>
      <c r="BB10" s="166">
        <f>D10/'Utilisation by Sector'!$M$21</f>
        <v>1.2484402044841605</v>
      </c>
      <c r="BC10" s="166">
        <f>E10/'Utilisation by Sector'!$N$21</f>
        <v>0.73783376987158489</v>
      </c>
      <c r="BD10" s="166">
        <f>F10/'Utilisation by Sector'!$O$21</f>
        <v>5.4467399616211463</v>
      </c>
      <c r="BE10" s="166">
        <f>G10/'Utilisation by Sector'!$P$21</f>
        <v>5.4801115722110438E-2</v>
      </c>
      <c r="BF10" s="166">
        <f>H10/'Utilisation by Sector'!$Q$21</f>
        <v>0.12739543377511434</v>
      </c>
      <c r="BG10" s="138">
        <f t="shared" si="17"/>
        <v>175.12417582417584</v>
      </c>
      <c r="BH10" s="138">
        <f t="shared" si="18"/>
        <v>124.64432234432235</v>
      </c>
      <c r="BI10" s="138">
        <f t="shared" si="19"/>
        <v>125.54844020448415</v>
      </c>
      <c r="BJ10" s="138">
        <f t="shared" si="20"/>
        <v>125.03783376987158</v>
      </c>
      <c r="BK10" s="138">
        <f t="shared" si="21"/>
        <v>129.74673996162113</v>
      </c>
      <c r="BL10" s="138">
        <f t="shared" si="22"/>
        <v>58.349537957827366</v>
      </c>
      <c r="BM10" s="138">
        <f t="shared" si="23"/>
        <v>5.9648954337751166</v>
      </c>
      <c r="BN10" s="138">
        <f>BG10*'W.F. at Appliance Level'!I10</f>
        <v>175.12417582417584</v>
      </c>
      <c r="BO10" s="138">
        <f>BH10*'W.F. at Appliance Level'!J10</f>
        <v>124.64432234432235</v>
      </c>
      <c r="BP10" s="138">
        <f>BI10*'W.F. at Appliance Level'!K10+'UCM Services Protected'!BJ10*'W.F. at Appliance Level'!L10+'UCM Services Protected'!BK10*'W.F. at Appliance Level'!M10+'UCM Services Protected'!BL10*'W.F. at Appliance Level'!N10+'UCM Services Protected'!BM10*'W.F. at Appliance Level'!O10</f>
        <v>88.929489465515857</v>
      </c>
      <c r="BQ10" s="138">
        <f>BN10*'W.F. End-use Level'!K11+'UCM Services Protected'!BO10*'W.F. End-use Level'!L11+'UCM Services Protected'!BP10*'W.F. End-use Level'!M11</f>
        <v>95.702938129135674</v>
      </c>
      <c r="BR10" s="166">
        <f>B10/'Utilisation by Sector'!$K$27</f>
        <v>50.824175824175825</v>
      </c>
      <c r="BS10" s="166">
        <f>C10/'Utilisation by Sector'!$L$27</f>
        <v>0.34432234432234432</v>
      </c>
      <c r="BT10" s="166">
        <f>D10/'Utilisation by Sector'!$M$27</f>
        <v>1.2484402044841605</v>
      </c>
      <c r="BU10" s="166">
        <f>E10/'Utilisation by Sector'!$N$27</f>
        <v>0.73783376987158489</v>
      </c>
      <c r="BV10" s="166">
        <f>F10/'Utilisation by Sector'!$O$27</f>
        <v>5.4467399616211463</v>
      </c>
      <c r="BW10" s="166">
        <f>G10/'Utilisation by Sector'!$P$27</f>
        <v>5.4801115722110438E-2</v>
      </c>
      <c r="BX10" s="166">
        <f>H10/'Utilisation by Sector'!$Q$27</f>
        <v>0.12739543377511434</v>
      </c>
      <c r="BY10" s="138">
        <f t="shared" si="24"/>
        <v>175.12417582417584</v>
      </c>
      <c r="BZ10" s="138">
        <f t="shared" si="25"/>
        <v>124.64432234432235</v>
      </c>
      <c r="CA10" s="138">
        <f t="shared" si="26"/>
        <v>125.54844020448415</v>
      </c>
      <c r="CB10" s="138">
        <f t="shared" si="27"/>
        <v>125.03783376987158</v>
      </c>
      <c r="CC10" s="138">
        <f t="shared" si="28"/>
        <v>129.74673996162113</v>
      </c>
      <c r="CD10" s="138">
        <f t="shared" si="29"/>
        <v>58.349537957827366</v>
      </c>
      <c r="CE10" s="138">
        <f t="shared" si="30"/>
        <v>5.9648954337751166</v>
      </c>
      <c r="CF10" s="138">
        <f>BY10*'W.F. at Appliance Level'!I10</f>
        <v>175.12417582417584</v>
      </c>
      <c r="CG10" s="138">
        <f>BZ10*'W.F. at Appliance Level'!J10</f>
        <v>124.64432234432235</v>
      </c>
      <c r="CH10" s="138">
        <f>CA10*'W.F. at Appliance Level'!K10+'UCM Services Protected'!CB10*'W.F. at Appliance Level'!L10+'UCM Services Protected'!CC10*'W.F. at Appliance Level'!M10+'UCM Services Protected'!CD10*'W.F. at Appliance Level'!N10+'UCM Services Protected'!CE10*'W.F. at Appliance Level'!O10</f>
        <v>88.929489465515857</v>
      </c>
      <c r="CI10" s="138">
        <f>CF10*'W.F. End-use Level'!N11+'UCM Services Protected'!CG10*'W.F. End-use Level'!O11+'UCM Services Protected'!CH10*'W.F. End-use Level'!P11</f>
        <v>95.702938129135674</v>
      </c>
      <c r="CJ10" s="166">
        <f>B10/'Utilisation by Sector'!$K$33</f>
        <v>12.706043956043956</v>
      </c>
      <c r="CK10" s="166">
        <f>C10/'Utilisation by Sector'!$L$33</f>
        <v>0.34432234432234432</v>
      </c>
      <c r="CL10" s="166">
        <f>D10/'Utilisation by Sector'!$M$33</f>
        <v>1.2484402044841605</v>
      </c>
      <c r="CM10" s="166">
        <f>E10/'Utilisation by Sector'!$N$33</f>
        <v>0.73783376987158489</v>
      </c>
      <c r="CN10" s="166">
        <f>F10/'Utilisation by Sector'!$O$33</f>
        <v>5.4467399616211463</v>
      </c>
      <c r="CO10" s="166">
        <f>G10/'Utilisation by Sector'!$P$33</f>
        <v>5.4801115722110438E-2</v>
      </c>
      <c r="CP10" s="166">
        <f>H10/'Utilisation by Sector'!$Q$33</f>
        <v>0.12739543377511434</v>
      </c>
      <c r="CQ10" s="138">
        <f t="shared" si="31"/>
        <v>137.00604395604395</v>
      </c>
      <c r="CR10" s="138">
        <f t="shared" si="32"/>
        <v>124.64432234432235</v>
      </c>
      <c r="CS10" s="138">
        <f t="shared" si="33"/>
        <v>125.54844020448415</v>
      </c>
      <c r="CT10" s="138">
        <f t="shared" si="34"/>
        <v>125.03783376987158</v>
      </c>
      <c r="CU10" s="138">
        <f t="shared" si="35"/>
        <v>129.74673996162113</v>
      </c>
      <c r="CV10" s="138">
        <f t="shared" si="36"/>
        <v>58.349537957827366</v>
      </c>
      <c r="CW10" s="138">
        <f t="shared" si="37"/>
        <v>5.9648954337751166</v>
      </c>
      <c r="CX10" s="138">
        <f>CQ10*'W.F. at Appliance Level'!I10</f>
        <v>137.00604395604395</v>
      </c>
      <c r="CY10" s="138">
        <f>CR10*'W.F. at Appliance Level'!J10</f>
        <v>124.64432234432235</v>
      </c>
      <c r="CZ10" s="138">
        <f>CS10*'W.F. at Appliance Level'!K10+'UCM Services Protected'!CT10*'W.F. at Appliance Level'!L10+'UCM Services Protected'!CU10*'W.F. at Appliance Level'!M10+'UCM Services Protected'!CV10*'W.F. at Appliance Level'!N10+'UCM Services Protected'!CW10*'W.F. at Appliance Level'!O10</f>
        <v>88.929489465515857</v>
      </c>
      <c r="DA10" s="138">
        <f>CX10*'W.F. End-use Level'!Q11+'UCM Services Protected'!CY10*'W.F. End-use Level'!R11+'UCM Services Protected'!CZ10*'W.F. End-use Level'!S11</f>
        <v>95.550465601663149</v>
      </c>
      <c r="DB10" s="166">
        <f>C10/'Utilisation by Sector'!$L$39</f>
        <v>1.4461538461538461</v>
      </c>
      <c r="DC10" s="166">
        <f>D10/'Utilisation by Sector'!$M$39</f>
        <v>8.0193923723335487</v>
      </c>
      <c r="DD10" s="166">
        <f>E10/'Utilisation by Sector'!$N$39</f>
        <v>3.0989018334606566</v>
      </c>
      <c r="DE10" s="166">
        <f>F10/'Utilisation by Sector'!$O$39</f>
        <v>22.876307838808813</v>
      </c>
      <c r="DF10" s="166">
        <f>G10/'Utilisation by Sector'!$P$39</f>
        <v>0.23016468603286386</v>
      </c>
      <c r="DG10" s="166">
        <f>H10/'Utilisation by Sector'!$Q$39</f>
        <v>0.53506082185548021</v>
      </c>
      <c r="DH10" s="138">
        <f t="shared" si="38"/>
        <v>125.74615384615385</v>
      </c>
      <c r="DI10" s="138">
        <f t="shared" si="39"/>
        <v>132.31939237233354</v>
      </c>
      <c r="DJ10" s="138">
        <f t="shared" si="40"/>
        <v>127.39890183346066</v>
      </c>
      <c r="DK10" s="138">
        <f t="shared" si="41"/>
        <v>147.17630783880881</v>
      </c>
      <c r="DL10" s="138">
        <f t="shared" si="42"/>
        <v>58.524901528138116</v>
      </c>
      <c r="DM10" s="138">
        <f t="shared" si="43"/>
        <v>6.3725608218554823</v>
      </c>
      <c r="DN10" s="138">
        <f>DH10*'W.F. at Appliance Level'!J10</f>
        <v>125.74615384615385</v>
      </c>
      <c r="DO10" s="138">
        <f>DI10*'W.F. at Appliance Level'!K10+'UCM Services Protected'!DJ10*'W.F. at Appliance Level'!L10+'UCM Services Protected'!DK10*'W.F. at Appliance Level'!M10+'UCM Services Protected'!DL10*'W.F. at Appliance Level'!N10+'UCM Services Protected'!DM10*'W.F. at Appliance Level'!O10</f>
        <v>94.358412878919339</v>
      </c>
      <c r="DP10" s="138">
        <f>DN10*'W.F. End-use Level'!T11+'UCM Services Protected'!DO10*'W.F. End-use Level'!U11</f>
        <v>100.03089618625089</v>
      </c>
      <c r="DQ10" s="133">
        <f>AG10*'W.F. at Subsector Level'!B10+'UCM Services Protected'!AY10*'W.F. at Subsector Level'!C10+'UCM Services Protected'!BQ10*'W.F. at Subsector Level'!D10+'UCM Services Protected'!CI10*'W.F. at Subsector Level'!E10+'UCM Services Protected'!DA10*'W.F. at Subsector Level'!F10+'UCM Services Protected'!DP10*'W.F. at Subsector Level'!G10</f>
        <v>97.148567274127672</v>
      </c>
    </row>
    <row r="11" spans="1:125" ht="15.75" customHeight="1" x14ac:dyDescent="0.3">
      <c r="A11" s="54" t="s">
        <v>9</v>
      </c>
      <c r="B11" s="167">
        <f>'Appliance Prices'!B11</f>
        <v>272666.66666666669</v>
      </c>
      <c r="C11" s="167">
        <f>'Appliance Prices'!C11</f>
        <v>73669.666666666657</v>
      </c>
      <c r="D11" s="167">
        <f>'Appliance Prices'!D11</f>
        <v>137665.08677606346</v>
      </c>
      <c r="E11" s="167">
        <f>'Appliance Prices'!E11</f>
        <v>21909.579999999998</v>
      </c>
      <c r="F11" s="167">
        <f>'Appliance Prices'!F11</f>
        <v>364239.75495103037</v>
      </c>
      <c r="G11" s="167">
        <f>'Appliance Prices'!G11</f>
        <v>6260.4794600938967</v>
      </c>
      <c r="H11" s="167">
        <f>'Appliance Prices'!H11</f>
        <v>105171.75608498839</v>
      </c>
      <c r="I11" s="167">
        <f>'Fuel Prices excl. VAT'!B10</f>
        <v>6.0299999999999999E-2</v>
      </c>
      <c r="J11" s="167">
        <f>'Fuel Prices excl. VAT'!D10</f>
        <v>0.1943</v>
      </c>
      <c r="K11" s="167">
        <f>'Fuel Prices excl. VAT'!F10</f>
        <v>0.13303473684210526</v>
      </c>
      <c r="L11" s="167">
        <f>'Fuel Prices excl. VAT'!H10</f>
        <v>5.6020833333333332E-2</v>
      </c>
      <c r="M11" s="167">
        <f t="shared" si="0"/>
        <v>0.13400000000000001</v>
      </c>
      <c r="N11" s="167">
        <f t="shared" si="1"/>
        <v>7.2734736842105269E-2</v>
      </c>
      <c r="O11" s="167">
        <f t="shared" si="2"/>
        <v>-4.2791666666666672E-3</v>
      </c>
      <c r="P11" s="167">
        <f>B11/'Utilisation by Sector'!$K$9</f>
        <v>18.72710622710623</v>
      </c>
      <c r="Q11" s="167">
        <f>C11/'Utilisation by Sector'!$L$9</f>
        <v>0.84328830891330875</v>
      </c>
      <c r="R11" s="167">
        <f>D11/'Utilisation by Sector'!$M$9</f>
        <v>1.5758366160263675</v>
      </c>
      <c r="S11" s="167">
        <f>E11/'Utilisation by Sector'!$N$9</f>
        <v>0.54795868347338927</v>
      </c>
      <c r="T11" s="167">
        <f>F11/'Utilisation by Sector'!$O$9</f>
        <v>4.2511642734714092</v>
      </c>
      <c r="U11" s="167">
        <f>G11/'Utilisation by Sector'!$P$9</f>
        <v>5.4801115722110438E-2</v>
      </c>
      <c r="V11" s="167">
        <f>H11/'Utilisation by Sector'!$Q$9</f>
        <v>0.92062111418932413</v>
      </c>
      <c r="W11" s="139">
        <f t="shared" si="3"/>
        <v>152.72710622710622</v>
      </c>
      <c r="X11" s="139">
        <f t="shared" si="4"/>
        <v>134.84328830891332</v>
      </c>
      <c r="Y11" s="139">
        <f t="shared" si="5"/>
        <v>135.57583661602638</v>
      </c>
      <c r="Z11" s="139">
        <f t="shared" si="6"/>
        <v>134.54795868347338</v>
      </c>
      <c r="AA11" s="139">
        <f t="shared" si="7"/>
        <v>138.2511642734714</v>
      </c>
      <c r="AB11" s="139">
        <f t="shared" si="8"/>
        <v>72.789537957827378</v>
      </c>
      <c r="AC11" s="139">
        <f t="shared" si="9"/>
        <v>-3.3585455524773424</v>
      </c>
      <c r="AD11" s="139">
        <f>W11*'W.F. at Appliance Level'!I11</f>
        <v>152.72710622710622</v>
      </c>
      <c r="AE11" s="139">
        <f>X11*'W.F. at Appliance Level'!J11</f>
        <v>134.84328830891332</v>
      </c>
      <c r="AF11" s="139">
        <f>Y11*'W.F. at Appliance Level'!K11+'UCM Services Protected'!Z11*'W.F. at Appliance Level'!L11+'UCM Services Protected'!AA11*'W.F. at Appliance Level'!M11+'UCM Services Protected'!AB11*'W.F. at Appliance Level'!N11+'UCM Services Protected'!AC11*'W.F. at Appliance Level'!O11</f>
        <v>95.561190395664255</v>
      </c>
      <c r="AG11" s="139">
        <f>AD11*'W.F. End-use Level'!E12+'UCM Services Protected'!AE11*'W.F. End-use Level'!F12+'UCM Services Protected'!AF11*'W.F. End-use Level'!G12</f>
        <v>107.00383039231818</v>
      </c>
      <c r="AH11" s="167">
        <f>B11/'Utilisation by Sector'!$K$15</f>
        <v>47.836257309941523</v>
      </c>
      <c r="AI11" s="167">
        <f>C11/'Utilisation by Sector'!$L$15</f>
        <v>4.8466885964912274</v>
      </c>
      <c r="AJ11" s="167">
        <f>D11/'Utilisation by Sector'!$M$15</f>
        <v>10.122432851181136</v>
      </c>
      <c r="AK11" s="167">
        <f>E11/'Utilisation by Sector'!$N$15</f>
        <v>2.3014264705882352</v>
      </c>
      <c r="AL11" s="167">
        <f>F11/'Utilisation by Sector'!$O$15</f>
        <v>17.85488994857992</v>
      </c>
      <c r="AM11" s="167">
        <f>G11/'Utilisation by Sector'!$P$15</f>
        <v>0.23016468603286386</v>
      </c>
      <c r="AN11" s="167">
        <f>H11/'Utilisation by Sector'!$Q$15</f>
        <v>3.8666086795951613</v>
      </c>
      <c r="AO11" s="139">
        <f t="shared" si="10"/>
        <v>181.83625730994152</v>
      </c>
      <c r="AP11" s="139">
        <f t="shared" si="11"/>
        <v>138.84668859649122</v>
      </c>
      <c r="AQ11" s="139">
        <f t="shared" si="12"/>
        <v>144.12243285118114</v>
      </c>
      <c r="AR11" s="139">
        <f t="shared" si="13"/>
        <v>136.30142647058824</v>
      </c>
      <c r="AS11" s="139">
        <f t="shared" si="14"/>
        <v>151.85488994857991</v>
      </c>
      <c r="AT11" s="139">
        <f t="shared" si="15"/>
        <v>72.964901528138128</v>
      </c>
      <c r="AU11" s="139">
        <f t="shared" si="16"/>
        <v>-0.41255798707150548</v>
      </c>
      <c r="AV11" s="139">
        <f>AO11*'W.F. at Appliance Level'!I11</f>
        <v>181.83625730994152</v>
      </c>
      <c r="AW11" s="139">
        <f>AP11*'W.F. at Appliance Level'!J11</f>
        <v>138.84668859649122</v>
      </c>
      <c r="AX11" s="139">
        <f>AQ11*'W.F. at Appliance Level'!K11+'UCM Services Protected'!AR11*'W.F. at Appliance Level'!L11+'UCM Services Protected'!AS11*'W.F. at Appliance Level'!M11+'UCM Services Protected'!AT11*'W.F. at Appliance Level'!N11+'UCM Services Protected'!AU11*'W.F. at Appliance Level'!O11</f>
        <v>100.9662185622832</v>
      </c>
      <c r="AY11" s="139">
        <f>AV11*'W.F. End-use Level'!H12+'UCM Services Protected'!AW11*'W.F. End-use Level'!I12+'UCM Services Protected'!AX11*'W.F. End-use Level'!J12</f>
        <v>112.6054524763521</v>
      </c>
      <c r="AZ11" s="167">
        <f>B11/'Utilisation by Sector'!$K$21</f>
        <v>74.908424908424919</v>
      </c>
      <c r="BA11" s="167">
        <f>C11/'Utilisation by Sector'!$L$21</f>
        <v>0.84328830891330875</v>
      </c>
      <c r="BB11" s="167">
        <f>D11/'Utilisation by Sector'!$M$21</f>
        <v>1.5758366160263675</v>
      </c>
      <c r="BC11" s="167">
        <f>E11/'Utilisation by Sector'!$N$21</f>
        <v>0.54795868347338927</v>
      </c>
      <c r="BD11" s="167">
        <f>F11/'Utilisation by Sector'!$O$21</f>
        <v>4.2511642734714092</v>
      </c>
      <c r="BE11" s="167">
        <f>G11/'Utilisation by Sector'!$P$21</f>
        <v>5.4801115722110438E-2</v>
      </c>
      <c r="BF11" s="167">
        <f>H11/'Utilisation by Sector'!$Q$21</f>
        <v>0.92062111418932413</v>
      </c>
      <c r="BG11" s="139">
        <f t="shared" si="17"/>
        <v>208.90842490842493</v>
      </c>
      <c r="BH11" s="139">
        <f t="shared" si="18"/>
        <v>134.84328830891332</v>
      </c>
      <c r="BI11" s="139">
        <f t="shared" si="19"/>
        <v>135.57583661602638</v>
      </c>
      <c r="BJ11" s="139">
        <f t="shared" si="20"/>
        <v>134.54795868347338</v>
      </c>
      <c r="BK11" s="139">
        <f t="shared" si="21"/>
        <v>138.2511642734714</v>
      </c>
      <c r="BL11" s="139">
        <f t="shared" si="22"/>
        <v>72.789537957827378</v>
      </c>
      <c r="BM11" s="139">
        <f t="shared" si="23"/>
        <v>-3.3585455524773424</v>
      </c>
      <c r="BN11" s="139">
        <f>BG11*'W.F. at Appliance Level'!I11</f>
        <v>208.90842490842493</v>
      </c>
      <c r="BO11" s="139">
        <f>BH11*'W.F. at Appliance Level'!J11</f>
        <v>134.84328830891332</v>
      </c>
      <c r="BP11" s="139">
        <f>BI11*'W.F. at Appliance Level'!K11+'UCM Services Protected'!BJ11*'W.F. at Appliance Level'!L11+'UCM Services Protected'!BK11*'W.F. at Appliance Level'!M11+'UCM Services Protected'!BL11*'W.F. at Appliance Level'!N11+'UCM Services Protected'!BM11*'W.F. at Appliance Level'!O11</f>
        <v>95.561190395664255</v>
      </c>
      <c r="BQ11" s="139">
        <f>BN11*'W.F. End-use Level'!K12+'UCM Services Protected'!BO11*'W.F. End-use Level'!L12+'UCM Services Protected'!BP11*'W.F. End-use Level'!M12</f>
        <v>108.32387076128035</v>
      </c>
      <c r="BR11" s="167">
        <f>B11/'Utilisation by Sector'!$K$27</f>
        <v>74.908424908424919</v>
      </c>
      <c r="BS11" s="167">
        <f>C11/'Utilisation by Sector'!$L$27</f>
        <v>0.84328830891330875</v>
      </c>
      <c r="BT11" s="167">
        <f>D11/'Utilisation by Sector'!$M$27</f>
        <v>1.5758366160263675</v>
      </c>
      <c r="BU11" s="167">
        <f>E11/'Utilisation by Sector'!$N$27</f>
        <v>0.54795868347338927</v>
      </c>
      <c r="BV11" s="167">
        <f>F11/'Utilisation by Sector'!$O$27</f>
        <v>4.2511642734714092</v>
      </c>
      <c r="BW11" s="167">
        <f>G11/'Utilisation by Sector'!$P$27</f>
        <v>5.4801115722110438E-2</v>
      </c>
      <c r="BX11" s="167">
        <f>H11/'Utilisation by Sector'!$Q$27</f>
        <v>0.92062111418932413</v>
      </c>
      <c r="BY11" s="139">
        <f t="shared" si="24"/>
        <v>208.90842490842493</v>
      </c>
      <c r="BZ11" s="139">
        <f t="shared" si="25"/>
        <v>134.84328830891332</v>
      </c>
      <c r="CA11" s="139">
        <f t="shared" si="26"/>
        <v>135.57583661602638</v>
      </c>
      <c r="CB11" s="139">
        <f t="shared" si="27"/>
        <v>134.54795868347338</v>
      </c>
      <c r="CC11" s="139">
        <f t="shared" si="28"/>
        <v>138.2511642734714</v>
      </c>
      <c r="CD11" s="139">
        <f t="shared" si="29"/>
        <v>72.789537957827378</v>
      </c>
      <c r="CE11" s="139">
        <f t="shared" si="30"/>
        <v>-3.3585455524773424</v>
      </c>
      <c r="CF11" s="139">
        <f>BY11*'W.F. at Appliance Level'!I11</f>
        <v>208.90842490842493</v>
      </c>
      <c r="CG11" s="139">
        <f>BZ11*'W.F. at Appliance Level'!J11</f>
        <v>134.84328830891332</v>
      </c>
      <c r="CH11" s="139">
        <f>CA11*'W.F. at Appliance Level'!K11+'UCM Services Protected'!CB11*'W.F. at Appliance Level'!L11+'UCM Services Protected'!CC11*'W.F. at Appliance Level'!M11+'UCM Services Protected'!CD11*'W.F. at Appliance Level'!N11+'UCM Services Protected'!CE11*'W.F. at Appliance Level'!O11</f>
        <v>95.561190395664255</v>
      </c>
      <c r="CI11" s="139">
        <f>CF11*'W.F. End-use Level'!N12+'UCM Services Protected'!CG11*'W.F. End-use Level'!O12+'UCM Services Protected'!CH11*'W.F. End-use Level'!P12</f>
        <v>108.32387076128035</v>
      </c>
      <c r="CJ11" s="167">
        <f>B11/'Utilisation by Sector'!$K$33</f>
        <v>18.72710622710623</v>
      </c>
      <c r="CK11" s="167">
        <f>C11/'Utilisation by Sector'!$L$33</f>
        <v>0.84328830891330875</v>
      </c>
      <c r="CL11" s="167">
        <f>D11/'Utilisation by Sector'!$M$33</f>
        <v>1.5758366160263675</v>
      </c>
      <c r="CM11" s="167">
        <f>E11/'Utilisation by Sector'!$N$33</f>
        <v>0.54795868347338927</v>
      </c>
      <c r="CN11" s="167">
        <f>F11/'Utilisation by Sector'!$O$33</f>
        <v>4.2511642734714092</v>
      </c>
      <c r="CO11" s="167">
        <f>G11/'Utilisation by Sector'!$P$33</f>
        <v>5.4801115722110438E-2</v>
      </c>
      <c r="CP11" s="167">
        <f>H11/'Utilisation by Sector'!$Q$33</f>
        <v>0.92062111418932413</v>
      </c>
      <c r="CQ11" s="139">
        <f t="shared" si="31"/>
        <v>152.72710622710622</v>
      </c>
      <c r="CR11" s="139">
        <f t="shared" si="32"/>
        <v>134.84328830891332</v>
      </c>
      <c r="CS11" s="139">
        <f t="shared" si="33"/>
        <v>135.57583661602638</v>
      </c>
      <c r="CT11" s="139">
        <f t="shared" si="34"/>
        <v>134.54795868347338</v>
      </c>
      <c r="CU11" s="139">
        <f t="shared" si="35"/>
        <v>138.2511642734714</v>
      </c>
      <c r="CV11" s="139">
        <f t="shared" si="36"/>
        <v>72.789537957827378</v>
      </c>
      <c r="CW11" s="139">
        <f t="shared" si="37"/>
        <v>-3.3585455524773424</v>
      </c>
      <c r="CX11" s="139">
        <f>CQ11*'W.F. at Appliance Level'!I11</f>
        <v>152.72710622710622</v>
      </c>
      <c r="CY11" s="139">
        <f>CR11*'W.F. at Appliance Level'!J11</f>
        <v>134.84328830891332</v>
      </c>
      <c r="CZ11" s="139">
        <f>CS11*'W.F. at Appliance Level'!K11+'UCM Services Protected'!CT11*'W.F. at Appliance Level'!L11+'UCM Services Protected'!CU11*'W.F. at Appliance Level'!M11+'UCM Services Protected'!CV11*'W.F. at Appliance Level'!N11+'UCM Services Protected'!CW11*'W.F. at Appliance Level'!O11</f>
        <v>95.561190395664255</v>
      </c>
      <c r="DA11" s="139">
        <f>CX11*'W.F. End-use Level'!Q12+'UCM Services Protected'!CY11*'W.F. End-use Level'!R12+'UCM Services Protected'!CZ11*'W.F. End-use Level'!S12</f>
        <v>107.00383039231818</v>
      </c>
      <c r="DB11" s="167">
        <f>C11/'Utilisation by Sector'!$L$39</f>
        <v>3.5418108974358971</v>
      </c>
      <c r="DC11" s="167">
        <f>D11/'Utilisation by Sector'!$M$39</f>
        <v>10.122432851181136</v>
      </c>
      <c r="DD11" s="167">
        <f>E11/'Utilisation by Sector'!$N$39</f>
        <v>2.3014264705882352</v>
      </c>
      <c r="DE11" s="167">
        <f>F11/'Utilisation by Sector'!$O$39</f>
        <v>17.85488994857992</v>
      </c>
      <c r="DF11" s="167">
        <f>G11/'Utilisation by Sector'!$P$39</f>
        <v>0.23016468603286386</v>
      </c>
      <c r="DG11" s="167">
        <f>H11/'Utilisation by Sector'!$Q$39</f>
        <v>3.8666086795951613</v>
      </c>
      <c r="DH11" s="139">
        <f t="shared" si="38"/>
        <v>137.54181089743591</v>
      </c>
      <c r="DI11" s="139">
        <f t="shared" si="39"/>
        <v>144.12243285118114</v>
      </c>
      <c r="DJ11" s="139">
        <f t="shared" si="40"/>
        <v>136.30142647058824</v>
      </c>
      <c r="DK11" s="139">
        <f t="shared" si="41"/>
        <v>151.85488994857991</v>
      </c>
      <c r="DL11" s="139">
        <f t="shared" si="42"/>
        <v>72.964901528138128</v>
      </c>
      <c r="DM11" s="139">
        <f t="shared" si="43"/>
        <v>-0.41255798707150548</v>
      </c>
      <c r="DN11" s="139">
        <f>DH11*'W.F. at Appliance Level'!J11</f>
        <v>137.54181089743591</v>
      </c>
      <c r="DO11" s="139">
        <f>DI11*'W.F. at Appliance Level'!K11+'UCM Services Protected'!DJ11*'W.F. at Appliance Level'!L11+'UCM Services Protected'!DK11*'W.F. at Appliance Level'!M11+'UCM Services Protected'!DL11*'W.F. at Appliance Level'!N11+'UCM Services Protected'!DM11*'W.F. at Appliance Level'!O11</f>
        <v>100.9662185622832</v>
      </c>
      <c r="DP11" s="139">
        <f>DN11*'W.F. End-use Level'!T12+'UCM Services Protected'!DO11*'W.F. End-use Level'!U12</f>
        <v>110.59610329028992</v>
      </c>
      <c r="DQ11" s="134">
        <f>AG11*'W.F. at Subsector Level'!B11+'UCM Services Protected'!AY11*'W.F. at Subsector Level'!C11+'UCM Services Protected'!BQ11*'W.F. at Subsector Level'!D11+'UCM Services Protected'!CI11*'W.F. at Subsector Level'!E11+'UCM Services Protected'!DA11*'W.F. at Subsector Level'!F11+'UCM Services Protected'!DP11*'W.F. at Subsector Level'!G11</f>
        <v>108.9761596789732</v>
      </c>
    </row>
    <row r="12" spans="1:125" ht="15.75" customHeight="1" x14ac:dyDescent="0.3">
      <c r="A12" s="54" t="s">
        <v>10</v>
      </c>
      <c r="B12" s="166">
        <f>'Appliance Prices'!B12</f>
        <v>172927.17889908256</v>
      </c>
      <c r="C12" s="166">
        <f>'Appliance Prices'!C12</f>
        <v>41066.570048309179</v>
      </c>
      <c r="D12" s="166">
        <f>'Appliance Prices'!D12</f>
        <v>101128.10387193602</v>
      </c>
      <c r="E12" s="166">
        <f>'Appliance Prices'!E12</f>
        <v>14424.669222222225</v>
      </c>
      <c r="F12" s="166">
        <f>'Appliance Prices'!F12</f>
        <v>364239.75495103037</v>
      </c>
      <c r="G12" s="166">
        <f>'Appliance Prices'!G12</f>
        <v>6260.4794600938967</v>
      </c>
      <c r="H12" s="166">
        <f>'Appliance Prices'!H12</f>
        <v>105171.75608498839</v>
      </c>
      <c r="I12" s="166">
        <f>'Fuel Prices excl. VAT'!B11</f>
        <v>5.5100000000000003E-2</v>
      </c>
      <c r="J12" s="166">
        <f>'Fuel Prices excl. VAT'!D11</f>
        <v>0.1898</v>
      </c>
      <c r="K12" s="166">
        <f>'Fuel Prices excl. VAT'!F11</f>
        <v>7.567368421052631E-2</v>
      </c>
      <c r="L12" s="166">
        <f>'Fuel Prices excl. VAT'!H11</f>
        <v>4.4999999999999998E-2</v>
      </c>
      <c r="M12" s="166">
        <f t="shared" si="0"/>
        <v>0.13469999999999999</v>
      </c>
      <c r="N12" s="166">
        <f t="shared" si="1"/>
        <v>2.0573684210526307E-2</v>
      </c>
      <c r="O12" s="166">
        <f t="shared" si="2"/>
        <v>-1.0100000000000005E-2</v>
      </c>
      <c r="P12" s="166">
        <f>B12/'Utilisation by Sector'!$K$9</f>
        <v>11.876866682629297</v>
      </c>
      <c r="Q12" s="166">
        <f>C12/'Utilisation by Sector'!$L$9</f>
        <v>0.47008436410610321</v>
      </c>
      <c r="R12" s="166">
        <f>D12/'Utilisation by Sector'!$M$9</f>
        <v>1.1576019216109892</v>
      </c>
      <c r="S12" s="166">
        <f>E12/'Utilisation by Sector'!$N$9</f>
        <v>0.36076103496954343</v>
      </c>
      <c r="T12" s="166">
        <f>F12/'Utilisation by Sector'!$O$9</f>
        <v>4.2511642734714092</v>
      </c>
      <c r="U12" s="166">
        <f>G12/'Utilisation by Sector'!$P$9</f>
        <v>5.4801115722110438E-2</v>
      </c>
      <c r="V12" s="166">
        <f>H12/'Utilisation by Sector'!$Q$9</f>
        <v>0.92062111418932413</v>
      </c>
      <c r="W12" s="138">
        <f t="shared" si="3"/>
        <v>146.57686668262929</v>
      </c>
      <c r="X12" s="138">
        <f t="shared" si="4"/>
        <v>135.17008436410609</v>
      </c>
      <c r="Y12" s="138">
        <f t="shared" si="5"/>
        <v>135.85760192161098</v>
      </c>
      <c r="Z12" s="138">
        <f t="shared" si="6"/>
        <v>135.06076103496954</v>
      </c>
      <c r="AA12" s="138">
        <f t="shared" si="7"/>
        <v>138.95116427347139</v>
      </c>
      <c r="AB12" s="138">
        <f t="shared" si="8"/>
        <v>20.628485326248416</v>
      </c>
      <c r="AC12" s="138">
        <f t="shared" si="9"/>
        <v>-9.1793788858106815</v>
      </c>
      <c r="AD12" s="138">
        <f>W12*'W.F. at Appliance Level'!I12</f>
        <v>146.57686668262929</v>
      </c>
      <c r="AE12" s="138">
        <f>X12*'W.F. at Appliance Level'!J12</f>
        <v>135.17008436410609</v>
      </c>
      <c r="AF12" s="138">
        <f>Y12*'W.F. at Appliance Level'!K12+'UCM Services Protected'!Z12*'W.F. at Appliance Level'!L12+'UCM Services Protected'!AA12*'W.F. at Appliance Level'!M12+'UCM Services Protected'!AB12*'W.F. at Appliance Level'!N12+'UCM Services Protected'!AC12*'W.F. at Appliance Level'!O12</f>
        <v>84.263726734097943</v>
      </c>
      <c r="AG12" s="138">
        <f>AD12*'W.F. End-use Level'!E13+'UCM Services Protected'!AE12*'W.F. End-use Level'!F13+'UCM Services Protected'!AF12*'W.F. End-use Level'!G13</f>
        <v>100.23290485661148</v>
      </c>
      <c r="AH12" s="166">
        <f>B12/'Utilisation by Sector'!$K$15</f>
        <v>30.338101561242553</v>
      </c>
      <c r="AI12" s="166">
        <f>C12/'Utilisation by Sector'!$L$15</f>
        <v>2.7017480294940248</v>
      </c>
      <c r="AJ12" s="166">
        <f>D12/'Utilisation by Sector'!$M$15</f>
        <v>7.4358899905835312</v>
      </c>
      <c r="AK12" s="166">
        <f>E12/'Utilisation by Sector'!$N$15</f>
        <v>1.5151963468720824</v>
      </c>
      <c r="AL12" s="166">
        <f>F12/'Utilisation by Sector'!$O$15</f>
        <v>17.85488994857992</v>
      </c>
      <c r="AM12" s="166">
        <f>G12/'Utilisation by Sector'!$P$15</f>
        <v>0.23016468603286386</v>
      </c>
      <c r="AN12" s="166">
        <f>H12/'Utilisation by Sector'!$Q$15</f>
        <v>3.8666086795951613</v>
      </c>
      <c r="AO12" s="138">
        <f t="shared" si="10"/>
        <v>165.03810156124254</v>
      </c>
      <c r="AP12" s="138">
        <f t="shared" si="11"/>
        <v>137.401748029494</v>
      </c>
      <c r="AQ12" s="138">
        <f t="shared" si="12"/>
        <v>142.13588999058351</v>
      </c>
      <c r="AR12" s="138">
        <f t="shared" si="13"/>
        <v>136.21519634687206</v>
      </c>
      <c r="AS12" s="138">
        <f t="shared" si="14"/>
        <v>152.5548899485799</v>
      </c>
      <c r="AT12" s="138">
        <f t="shared" si="15"/>
        <v>20.80384889655917</v>
      </c>
      <c r="AU12" s="138">
        <f t="shared" si="16"/>
        <v>-6.2333913204048432</v>
      </c>
      <c r="AV12" s="138">
        <f>AO12*'W.F. at Appliance Level'!I12</f>
        <v>165.03810156124254</v>
      </c>
      <c r="AW12" s="138">
        <f>AP12*'W.F. at Appliance Level'!J12</f>
        <v>137.401748029494</v>
      </c>
      <c r="AX12" s="138">
        <f>AQ12*'W.F. at Appliance Level'!K12+'UCM Services Protected'!AR12*'W.F. at Appliance Level'!L12+'UCM Services Protected'!AS12*'W.F. at Appliance Level'!M12+'UCM Services Protected'!AT12*'W.F. at Appliance Level'!N12+'UCM Services Protected'!AU12*'W.F. at Appliance Level'!O12</f>
        <v>89.095286772437959</v>
      </c>
      <c r="AY12" s="138">
        <f>AV12*'W.F. End-use Level'!H13+'UCM Services Protected'!AW12*'W.F. End-use Level'!I13+'UCM Services Protected'!AX12*'W.F. End-use Level'!J13</f>
        <v>105.78991007641275</v>
      </c>
      <c r="AZ12" s="166">
        <f>B12/'Utilisation by Sector'!$K$21</f>
        <v>47.507466730517187</v>
      </c>
      <c r="BA12" s="166">
        <f>C12/'Utilisation by Sector'!$L$21</f>
        <v>0.47008436410610321</v>
      </c>
      <c r="BB12" s="166">
        <f>D12/'Utilisation by Sector'!$M$21</f>
        <v>1.1576019216109892</v>
      </c>
      <c r="BC12" s="166">
        <f>E12/'Utilisation by Sector'!$N$21</f>
        <v>0.36076103496954343</v>
      </c>
      <c r="BD12" s="166">
        <f>F12/'Utilisation by Sector'!$O$21</f>
        <v>4.2511642734714092</v>
      </c>
      <c r="BE12" s="166">
        <f>G12/'Utilisation by Sector'!$P$21</f>
        <v>5.4801115722110438E-2</v>
      </c>
      <c r="BF12" s="166">
        <f>H12/'Utilisation by Sector'!$Q$21</f>
        <v>0.92062111418932413</v>
      </c>
      <c r="BG12" s="138">
        <f t="shared" si="17"/>
        <v>182.20746673051718</v>
      </c>
      <c r="BH12" s="138">
        <f t="shared" si="18"/>
        <v>135.17008436410609</v>
      </c>
      <c r="BI12" s="138">
        <f t="shared" si="19"/>
        <v>135.85760192161098</v>
      </c>
      <c r="BJ12" s="138">
        <f t="shared" si="20"/>
        <v>135.06076103496954</v>
      </c>
      <c r="BK12" s="138">
        <f t="shared" si="21"/>
        <v>138.95116427347139</v>
      </c>
      <c r="BL12" s="138">
        <f t="shared" si="22"/>
        <v>20.628485326248416</v>
      </c>
      <c r="BM12" s="138">
        <f t="shared" si="23"/>
        <v>-9.1793788858106815</v>
      </c>
      <c r="BN12" s="138">
        <f>BG12*'W.F. at Appliance Level'!I12</f>
        <v>182.20746673051718</v>
      </c>
      <c r="BO12" s="138">
        <f>BH12*'W.F. at Appliance Level'!J12</f>
        <v>135.17008436410609</v>
      </c>
      <c r="BP12" s="138">
        <f>BI12*'W.F. at Appliance Level'!K12+'UCM Services Protected'!BJ12*'W.F. at Appliance Level'!L12+'UCM Services Protected'!BK12*'W.F. at Appliance Level'!M12+'UCM Services Protected'!BL12*'W.F. at Appliance Level'!N12+'UCM Services Protected'!BM12*'W.F. at Appliance Level'!O12</f>
        <v>84.263726734097943</v>
      </c>
      <c r="BQ12" s="138">
        <f>BN12*'W.F. End-use Level'!K13+'UCM Services Protected'!BO12*'W.F. End-use Level'!L13+'UCM Services Protected'!BP12*'W.F. End-use Level'!M13</f>
        <v>103.49885748876716</v>
      </c>
      <c r="BR12" s="166">
        <f>B12/'Utilisation by Sector'!$K$27</f>
        <v>47.507466730517187</v>
      </c>
      <c r="BS12" s="166">
        <f>C12/'Utilisation by Sector'!$L$27</f>
        <v>0.47008436410610321</v>
      </c>
      <c r="BT12" s="166">
        <f>D12/'Utilisation by Sector'!$M$27</f>
        <v>1.1576019216109892</v>
      </c>
      <c r="BU12" s="166">
        <f>E12/'Utilisation by Sector'!$N$27</f>
        <v>0.36076103496954343</v>
      </c>
      <c r="BV12" s="166">
        <f>F12/'Utilisation by Sector'!$O$27</f>
        <v>4.2511642734714092</v>
      </c>
      <c r="BW12" s="166">
        <f>G12/'Utilisation by Sector'!$P$27</f>
        <v>5.4801115722110438E-2</v>
      </c>
      <c r="BX12" s="166">
        <f>H12/'Utilisation by Sector'!$Q$27</f>
        <v>0.92062111418932413</v>
      </c>
      <c r="BY12" s="138">
        <f t="shared" si="24"/>
        <v>182.20746673051718</v>
      </c>
      <c r="BZ12" s="138">
        <f t="shared" si="25"/>
        <v>135.17008436410609</v>
      </c>
      <c r="CA12" s="138">
        <f t="shared" si="26"/>
        <v>135.85760192161098</v>
      </c>
      <c r="CB12" s="138">
        <f t="shared" si="27"/>
        <v>135.06076103496954</v>
      </c>
      <c r="CC12" s="138">
        <f t="shared" si="28"/>
        <v>138.95116427347139</v>
      </c>
      <c r="CD12" s="138">
        <f t="shared" si="29"/>
        <v>20.628485326248416</v>
      </c>
      <c r="CE12" s="138">
        <f t="shared" si="30"/>
        <v>-9.1793788858106815</v>
      </c>
      <c r="CF12" s="138">
        <f>BY12*'W.F. at Appliance Level'!I12</f>
        <v>182.20746673051718</v>
      </c>
      <c r="CG12" s="138">
        <f>BZ12*'W.F. at Appliance Level'!J12</f>
        <v>135.17008436410609</v>
      </c>
      <c r="CH12" s="138">
        <f>CA12*'W.F. at Appliance Level'!K12+'UCM Services Protected'!CB12*'W.F. at Appliance Level'!L12+'UCM Services Protected'!CC12*'W.F. at Appliance Level'!M12+'UCM Services Protected'!CD12*'W.F. at Appliance Level'!N12+'UCM Services Protected'!CE12*'W.F. at Appliance Level'!O12</f>
        <v>84.263726734097943</v>
      </c>
      <c r="CI12" s="138">
        <f>CF12*'W.F. End-use Level'!N13+'UCM Services Protected'!CG12*'W.F. End-use Level'!O13+'UCM Services Protected'!CH12*'W.F. End-use Level'!P13</f>
        <v>103.49885748876716</v>
      </c>
      <c r="CJ12" s="166">
        <f>B12/'Utilisation by Sector'!$K$33</f>
        <v>11.876866682629297</v>
      </c>
      <c r="CK12" s="166">
        <f>C12/'Utilisation by Sector'!$L$33</f>
        <v>0.47008436410610321</v>
      </c>
      <c r="CL12" s="166">
        <f>D12/'Utilisation by Sector'!$M$33</f>
        <v>1.1576019216109892</v>
      </c>
      <c r="CM12" s="166">
        <f>E12/'Utilisation by Sector'!$N$33</f>
        <v>0.36076103496954343</v>
      </c>
      <c r="CN12" s="166">
        <f>F12/'Utilisation by Sector'!$O$33</f>
        <v>4.2511642734714092</v>
      </c>
      <c r="CO12" s="166">
        <f>G12/'Utilisation by Sector'!$P$33</f>
        <v>5.4801115722110438E-2</v>
      </c>
      <c r="CP12" s="166">
        <f>H12/'Utilisation by Sector'!$Q$33</f>
        <v>0.92062111418932413</v>
      </c>
      <c r="CQ12" s="138">
        <f t="shared" si="31"/>
        <v>146.57686668262929</v>
      </c>
      <c r="CR12" s="138">
        <f t="shared" si="32"/>
        <v>135.17008436410609</v>
      </c>
      <c r="CS12" s="138">
        <f t="shared" si="33"/>
        <v>135.85760192161098</v>
      </c>
      <c r="CT12" s="138">
        <f t="shared" si="34"/>
        <v>135.06076103496954</v>
      </c>
      <c r="CU12" s="138">
        <f t="shared" si="35"/>
        <v>138.95116427347139</v>
      </c>
      <c r="CV12" s="138">
        <f t="shared" si="36"/>
        <v>20.628485326248416</v>
      </c>
      <c r="CW12" s="138">
        <f t="shared" si="37"/>
        <v>-9.1793788858106815</v>
      </c>
      <c r="CX12" s="138">
        <f>CQ12*'W.F. at Appliance Level'!I12</f>
        <v>146.57686668262929</v>
      </c>
      <c r="CY12" s="138">
        <f>CR12*'W.F. at Appliance Level'!J12</f>
        <v>135.17008436410609</v>
      </c>
      <c r="CZ12" s="138">
        <f>CS12*'W.F. at Appliance Level'!K12+'UCM Services Protected'!CT12*'W.F. at Appliance Level'!L12+'UCM Services Protected'!CU12*'W.F. at Appliance Level'!M12+'UCM Services Protected'!CV12*'W.F. at Appliance Level'!N12+'UCM Services Protected'!CW12*'W.F. at Appliance Level'!O12</f>
        <v>84.263726734097943</v>
      </c>
      <c r="DA12" s="138">
        <f>CX12*'W.F. End-use Level'!Q13+'UCM Services Protected'!CY12*'W.F. End-use Level'!R13+'UCM Services Protected'!CZ12*'W.F. End-use Level'!S13</f>
        <v>100.23290485661148</v>
      </c>
      <c r="DB12" s="166">
        <f>C12/'Utilisation by Sector'!$L$39</f>
        <v>1.9743543292456336</v>
      </c>
      <c r="DC12" s="166">
        <f>D12/'Utilisation by Sector'!$M$39</f>
        <v>7.4358899905835312</v>
      </c>
      <c r="DD12" s="166">
        <f>E12/'Utilisation by Sector'!$N$39</f>
        <v>1.5151963468720824</v>
      </c>
      <c r="DE12" s="166">
        <f>F12/'Utilisation by Sector'!$O$39</f>
        <v>17.85488994857992</v>
      </c>
      <c r="DF12" s="166">
        <f>G12/'Utilisation by Sector'!$P$39</f>
        <v>0.23016468603286386</v>
      </c>
      <c r="DG12" s="166">
        <f>H12/'Utilisation by Sector'!$Q$39</f>
        <v>3.8666086795951613</v>
      </c>
      <c r="DH12" s="138">
        <f t="shared" si="38"/>
        <v>136.67435432924563</v>
      </c>
      <c r="DI12" s="138">
        <f t="shared" si="39"/>
        <v>142.13588999058351</v>
      </c>
      <c r="DJ12" s="138">
        <f t="shared" si="40"/>
        <v>136.21519634687206</v>
      </c>
      <c r="DK12" s="138">
        <f t="shared" si="41"/>
        <v>152.5548899485799</v>
      </c>
      <c r="DL12" s="138">
        <f t="shared" si="42"/>
        <v>20.80384889655917</v>
      </c>
      <c r="DM12" s="138">
        <f t="shared" si="43"/>
        <v>-6.2333913204048432</v>
      </c>
      <c r="DN12" s="138">
        <f>DH12*'W.F. at Appliance Level'!J12</f>
        <v>136.67435432924563</v>
      </c>
      <c r="DO12" s="138">
        <f>DI12*'W.F. at Appliance Level'!K12+'UCM Services Protected'!DJ12*'W.F. at Appliance Level'!L12+'UCM Services Protected'!DK12*'W.F. at Appliance Level'!M12+'UCM Services Protected'!DL12*'W.F. at Appliance Level'!N12+'UCM Services Protected'!DM12*'W.F. at Appliance Level'!O12</f>
        <v>89.095286772437959</v>
      </c>
      <c r="DP12" s="138">
        <f>DN12*'W.F. End-use Level'!T13+'UCM Services Protected'!DO12*'W.F. End-use Level'!U13</f>
        <v>100.26017673307318</v>
      </c>
      <c r="DQ12" s="133">
        <f>AG12*'W.F. at Subsector Level'!B12+'UCM Services Protected'!AY12*'W.F. at Subsector Level'!C12+'UCM Services Protected'!BQ12*'W.F. at Subsector Level'!D12+'UCM Services Protected'!CI12*'W.F. at Subsector Level'!E12+'UCM Services Protected'!DA12*'W.F. at Subsector Level'!F12+'UCM Services Protected'!DP12*'W.F. at Subsector Level'!G12</f>
        <v>102.25226858337388</v>
      </c>
    </row>
    <row r="13" spans="1:125" ht="15.75" customHeight="1" x14ac:dyDescent="0.3">
      <c r="A13" s="54" t="s">
        <v>11</v>
      </c>
      <c r="B13" s="167">
        <f>'Appliance Prices'!B13</f>
        <v>172927.17889908256</v>
      </c>
      <c r="C13" s="167">
        <f>'Appliance Prices'!C13</f>
        <v>71777.777777777766</v>
      </c>
      <c r="D13" s="167">
        <f>'Appliance Prices'!D13</f>
        <v>143957.2585978836</v>
      </c>
      <c r="E13" s="167">
        <f>'Appliance Prices'!E13</f>
        <v>18433.333333333336</v>
      </c>
      <c r="F13" s="167">
        <f>'Appliance Prices'!F13</f>
        <v>371866.66666666669</v>
      </c>
      <c r="G13" s="167">
        <f>'Appliance Prices'!G13</f>
        <v>16062.5</v>
      </c>
      <c r="H13" s="167">
        <f>'Appliance Prices'!H13</f>
        <v>260224.60623593698</v>
      </c>
      <c r="I13" s="167">
        <f>'Fuel Prices excl. VAT'!B12</f>
        <v>6.2899999999999998E-2</v>
      </c>
      <c r="J13" s="167">
        <f>'Fuel Prices excl. VAT'!D12</f>
        <v>0.1857</v>
      </c>
      <c r="K13" s="167">
        <f>'Fuel Prices excl. VAT'!F12</f>
        <v>0.11926315789473685</v>
      </c>
      <c r="L13" s="167">
        <f>'Fuel Prices excl. VAT'!H12</f>
        <v>4.4999999999999998E-2</v>
      </c>
      <c r="M13" s="167">
        <f t="shared" si="0"/>
        <v>0.12280000000000001</v>
      </c>
      <c r="N13" s="167">
        <f t="shared" si="1"/>
        <v>5.6363157894736851E-2</v>
      </c>
      <c r="O13" s="167">
        <f t="shared" si="2"/>
        <v>-1.7899999999999999E-2</v>
      </c>
      <c r="P13" s="167">
        <f>B13/'Utilisation by Sector'!$K$9</f>
        <v>11.876866682629297</v>
      </c>
      <c r="Q13" s="167">
        <f>C13/'Utilisation by Sector'!$L$9</f>
        <v>0.82163207163207153</v>
      </c>
      <c r="R13" s="167">
        <f>D13/'Utilisation by Sector'!$M$9</f>
        <v>1.6478623923750413</v>
      </c>
      <c r="S13" s="167">
        <f>E13/'Utilisation by Sector'!$N$9</f>
        <v>0.46101774042950522</v>
      </c>
      <c r="T13" s="167">
        <f>F13/'Utilisation by Sector'!$O$9</f>
        <v>4.3401805166511052</v>
      </c>
      <c r="U13" s="167">
        <f>G13/'Utilisation by Sector'!$P$9</f>
        <v>0.1406031162464986</v>
      </c>
      <c r="V13" s="167">
        <f>H13/'Utilisation by Sector'!$Q$9</f>
        <v>2.2778764551465072</v>
      </c>
      <c r="W13" s="139">
        <f t="shared" si="3"/>
        <v>134.67686668262931</v>
      </c>
      <c r="X13" s="139">
        <f t="shared" si="4"/>
        <v>123.62163207163208</v>
      </c>
      <c r="Y13" s="139">
        <f t="shared" si="5"/>
        <v>124.44786239237506</v>
      </c>
      <c r="Z13" s="139">
        <f t="shared" si="6"/>
        <v>123.26101774042952</v>
      </c>
      <c r="AA13" s="139">
        <f t="shared" si="7"/>
        <v>127.14018051665111</v>
      </c>
      <c r="AB13" s="139">
        <f t="shared" si="8"/>
        <v>56.503761010983347</v>
      </c>
      <c r="AC13" s="139">
        <f t="shared" si="9"/>
        <v>-15.622123544853491</v>
      </c>
      <c r="AD13" s="139">
        <f>W13*'W.F. at Appliance Level'!I13</f>
        <v>134.67686668262931</v>
      </c>
      <c r="AE13" s="139">
        <f>X13*'W.F. at Appliance Level'!J13</f>
        <v>123.62163207163208</v>
      </c>
      <c r="AF13" s="139">
        <f>Y13*'W.F. at Appliance Level'!K13+'UCM Services Protected'!Z13*'W.F. at Appliance Level'!L13+'UCM Services Protected'!AA13*'W.F. at Appliance Level'!M13+'UCM Services Protected'!AB13*'W.F. at Appliance Level'!N13+'UCM Services Protected'!AC13*'W.F. at Appliance Level'!O13</f>
        <v>83.146139623117122</v>
      </c>
      <c r="AG13" s="139">
        <f>AD13*'W.F. End-use Level'!E14+'UCM Services Protected'!AE13*'W.F. End-use Level'!F14+'UCM Services Protected'!AF13*'W.F. End-use Level'!G14</f>
        <v>92.344826818597809</v>
      </c>
      <c r="AH13" s="167">
        <f>B13/'Utilisation by Sector'!$K$15</f>
        <v>30.338101561242553</v>
      </c>
      <c r="AI13" s="167">
        <f>C13/'Utilisation by Sector'!$L$15</f>
        <v>4.7222222222222214</v>
      </c>
      <c r="AJ13" s="167">
        <f>D13/'Utilisation by Sector'!$M$15</f>
        <v>10.585092543962029</v>
      </c>
      <c r="AK13" s="167">
        <f>E13/'Utilisation by Sector'!$N$15</f>
        <v>1.9362745098039218</v>
      </c>
      <c r="AL13" s="167">
        <f>F13/'Utilisation by Sector'!$O$15</f>
        <v>18.22875816993464</v>
      </c>
      <c r="AM13" s="167">
        <f>G13/'Utilisation by Sector'!$P$15</f>
        <v>0.59053308823529416</v>
      </c>
      <c r="AN13" s="167">
        <f>H13/'Utilisation by Sector'!$Q$15</f>
        <v>9.5670811116153303</v>
      </c>
      <c r="AO13" s="139">
        <f t="shared" si="10"/>
        <v>153.13810156124256</v>
      </c>
      <c r="AP13" s="139">
        <f t="shared" si="11"/>
        <v>127.52222222222224</v>
      </c>
      <c r="AQ13" s="139">
        <f t="shared" si="12"/>
        <v>133.38509254396203</v>
      </c>
      <c r="AR13" s="139">
        <f t="shared" si="13"/>
        <v>124.73627450980393</v>
      </c>
      <c r="AS13" s="139">
        <f t="shared" si="14"/>
        <v>141.02875816993466</v>
      </c>
      <c r="AT13" s="139">
        <f t="shared" si="15"/>
        <v>56.953690982972148</v>
      </c>
      <c r="AU13" s="139">
        <f t="shared" si="16"/>
        <v>-8.3329188883846683</v>
      </c>
      <c r="AV13" s="139">
        <f>AO13*'W.F. at Appliance Level'!I13</f>
        <v>153.13810156124256</v>
      </c>
      <c r="AW13" s="139">
        <f>AP13*'W.F. at Appliance Level'!J13</f>
        <v>127.52222222222224</v>
      </c>
      <c r="AX13" s="139">
        <f>AQ13*'W.F. at Appliance Level'!K13+'UCM Services Protected'!AR13*'W.F. at Appliance Level'!L13+'UCM Services Protected'!AS13*'W.F. at Appliance Level'!M13+'UCM Services Protected'!AT13*'W.F. at Appliance Level'!N13+'UCM Services Protected'!AU13*'W.F. at Appliance Level'!O13</f>
        <v>89.554179463657618</v>
      </c>
      <c r="AY13" s="139">
        <f>AV13*'W.F. End-use Level'!H14+'UCM Services Protected'!AW13*'W.F. End-use Level'!I14+'UCM Services Protected'!AX13*'W.F. End-use Level'!J14</f>
        <v>98.481717676221791</v>
      </c>
      <c r="AZ13" s="167">
        <f>B13/'Utilisation by Sector'!$K$21</f>
        <v>47.507466730517187</v>
      </c>
      <c r="BA13" s="167">
        <f>C13/'Utilisation by Sector'!$L$21</f>
        <v>0.82163207163207153</v>
      </c>
      <c r="BB13" s="167">
        <f>D13/'Utilisation by Sector'!$M$21</f>
        <v>1.6478623923750413</v>
      </c>
      <c r="BC13" s="167">
        <f>E13/'Utilisation by Sector'!$N$21</f>
        <v>0.46101774042950522</v>
      </c>
      <c r="BD13" s="167">
        <f>F13/'Utilisation by Sector'!$O$21</f>
        <v>4.3401805166511052</v>
      </c>
      <c r="BE13" s="167">
        <f>G13/'Utilisation by Sector'!$P$21</f>
        <v>0.1406031162464986</v>
      </c>
      <c r="BF13" s="167">
        <f>H13/'Utilisation by Sector'!$Q$21</f>
        <v>2.2778764551465072</v>
      </c>
      <c r="BG13" s="139">
        <f t="shared" si="17"/>
        <v>170.30746673051721</v>
      </c>
      <c r="BH13" s="139">
        <f t="shared" si="18"/>
        <v>123.62163207163208</v>
      </c>
      <c r="BI13" s="139">
        <f t="shared" si="19"/>
        <v>124.44786239237506</v>
      </c>
      <c r="BJ13" s="139">
        <f t="shared" si="20"/>
        <v>123.26101774042952</v>
      </c>
      <c r="BK13" s="139">
        <f t="shared" si="21"/>
        <v>127.14018051665111</v>
      </c>
      <c r="BL13" s="139">
        <f t="shared" si="22"/>
        <v>56.503761010983347</v>
      </c>
      <c r="BM13" s="139">
        <f t="shared" si="23"/>
        <v>-15.622123544853491</v>
      </c>
      <c r="BN13" s="139">
        <f>BG13*'W.F. at Appliance Level'!I13</f>
        <v>170.30746673051721</v>
      </c>
      <c r="BO13" s="139">
        <f>BH13*'W.F. at Appliance Level'!J13</f>
        <v>123.62163207163208</v>
      </c>
      <c r="BP13" s="139">
        <f>BI13*'W.F. at Appliance Level'!K13+'UCM Services Protected'!BJ13*'W.F. at Appliance Level'!L13+'UCM Services Protected'!BK13*'W.F. at Appliance Level'!M13+'UCM Services Protected'!BL13*'W.F. at Appliance Level'!N13+'UCM Services Protected'!BM13*'W.F. at Appliance Level'!O13</f>
        <v>83.146139623117122</v>
      </c>
      <c r="BQ13" s="139">
        <f>BN13*'W.F. End-use Level'!K14+'UCM Services Protected'!BO13*'W.F. End-use Level'!L14+'UCM Services Protected'!BP13*'W.F. End-use Level'!M14</f>
        <v>93.04294351178936</v>
      </c>
      <c r="BR13" s="167">
        <f>B13/'Utilisation by Sector'!$K$27</f>
        <v>47.507466730517187</v>
      </c>
      <c r="BS13" s="167">
        <f>C13/'Utilisation by Sector'!$L$27</f>
        <v>0.82163207163207153</v>
      </c>
      <c r="BT13" s="167">
        <f>D13/'Utilisation by Sector'!$M$27</f>
        <v>1.6478623923750413</v>
      </c>
      <c r="BU13" s="167">
        <f>E13/'Utilisation by Sector'!$N$27</f>
        <v>0.46101774042950522</v>
      </c>
      <c r="BV13" s="167">
        <f>F13/'Utilisation by Sector'!$O$27</f>
        <v>4.3401805166511052</v>
      </c>
      <c r="BW13" s="167">
        <f>G13/'Utilisation by Sector'!$P$27</f>
        <v>0.1406031162464986</v>
      </c>
      <c r="BX13" s="167">
        <f>H13/'Utilisation by Sector'!$Q$27</f>
        <v>2.2778764551465072</v>
      </c>
      <c r="BY13" s="139">
        <f t="shared" si="24"/>
        <v>170.30746673051721</v>
      </c>
      <c r="BZ13" s="139">
        <f t="shared" si="25"/>
        <v>123.62163207163208</v>
      </c>
      <c r="CA13" s="139">
        <f t="shared" si="26"/>
        <v>124.44786239237506</v>
      </c>
      <c r="CB13" s="139">
        <f t="shared" si="27"/>
        <v>123.26101774042952</v>
      </c>
      <c r="CC13" s="139">
        <f t="shared" si="28"/>
        <v>127.14018051665111</v>
      </c>
      <c r="CD13" s="139">
        <f t="shared" si="29"/>
        <v>56.503761010983347</v>
      </c>
      <c r="CE13" s="139">
        <f t="shared" si="30"/>
        <v>-15.622123544853491</v>
      </c>
      <c r="CF13" s="139">
        <f>BY13*'W.F. at Appliance Level'!I13</f>
        <v>170.30746673051721</v>
      </c>
      <c r="CG13" s="139">
        <f>BZ13*'W.F. at Appliance Level'!J13</f>
        <v>123.62163207163208</v>
      </c>
      <c r="CH13" s="139">
        <f>CA13*'W.F. at Appliance Level'!K13+'UCM Services Protected'!CB13*'W.F. at Appliance Level'!L13+'UCM Services Protected'!CC13*'W.F. at Appliance Level'!M13+'UCM Services Protected'!CD13*'W.F. at Appliance Level'!N13+'UCM Services Protected'!CE13*'W.F. at Appliance Level'!O13</f>
        <v>83.146139623117122</v>
      </c>
      <c r="CI13" s="139">
        <f>CF13*'W.F. End-use Level'!N14+'UCM Services Protected'!CG13*'W.F. End-use Level'!O14+'UCM Services Protected'!CH13*'W.F. End-use Level'!P14</f>
        <v>93.04294351178936</v>
      </c>
      <c r="CJ13" s="167">
        <f>B13/'Utilisation by Sector'!$K$33</f>
        <v>11.876866682629297</v>
      </c>
      <c r="CK13" s="167">
        <f>C13/'Utilisation by Sector'!$L$33</f>
        <v>0.82163207163207153</v>
      </c>
      <c r="CL13" s="167">
        <f>D13/'Utilisation by Sector'!$M$33</f>
        <v>1.6478623923750413</v>
      </c>
      <c r="CM13" s="167">
        <f>E13/'Utilisation by Sector'!$N$33</f>
        <v>0.46101774042950522</v>
      </c>
      <c r="CN13" s="167">
        <f>F13/'Utilisation by Sector'!$O$33</f>
        <v>4.3401805166511052</v>
      </c>
      <c r="CO13" s="167">
        <f>G13/'Utilisation by Sector'!$P$33</f>
        <v>0.1406031162464986</v>
      </c>
      <c r="CP13" s="167">
        <f>H13/'Utilisation by Sector'!$Q$33</f>
        <v>2.2778764551465072</v>
      </c>
      <c r="CQ13" s="139">
        <f t="shared" si="31"/>
        <v>134.67686668262931</v>
      </c>
      <c r="CR13" s="139">
        <f t="shared" si="32"/>
        <v>123.62163207163208</v>
      </c>
      <c r="CS13" s="139">
        <f t="shared" si="33"/>
        <v>124.44786239237506</v>
      </c>
      <c r="CT13" s="139">
        <f t="shared" si="34"/>
        <v>123.26101774042952</v>
      </c>
      <c r="CU13" s="139">
        <f t="shared" si="35"/>
        <v>127.14018051665111</v>
      </c>
      <c r="CV13" s="139">
        <f t="shared" si="36"/>
        <v>56.503761010983347</v>
      </c>
      <c r="CW13" s="139">
        <f t="shared" si="37"/>
        <v>-15.622123544853491</v>
      </c>
      <c r="CX13" s="139">
        <f>CQ13*'W.F. at Appliance Level'!I13</f>
        <v>134.67686668262931</v>
      </c>
      <c r="CY13" s="139">
        <f>CR13*'W.F. at Appliance Level'!J13</f>
        <v>123.62163207163208</v>
      </c>
      <c r="CZ13" s="139">
        <f>CS13*'W.F. at Appliance Level'!K13+'UCM Services Protected'!CT13*'W.F. at Appliance Level'!L13+'UCM Services Protected'!CU13*'W.F. at Appliance Level'!M13+'UCM Services Protected'!CV13*'W.F. at Appliance Level'!N13+'UCM Services Protected'!CW13*'W.F. at Appliance Level'!O13</f>
        <v>83.146139623117122</v>
      </c>
      <c r="DA13" s="139">
        <f>CX13*'W.F. End-use Level'!Q14+'UCM Services Protected'!CY13*'W.F. End-use Level'!R14+'UCM Services Protected'!CZ13*'W.F. End-use Level'!S14</f>
        <v>92.344826818597809</v>
      </c>
      <c r="DB13" s="167">
        <f>C13/'Utilisation by Sector'!$L$39</f>
        <v>3.4508547008547001</v>
      </c>
      <c r="DC13" s="167">
        <f>D13/'Utilisation by Sector'!$M$39</f>
        <v>10.585092543962029</v>
      </c>
      <c r="DD13" s="167">
        <f>E13/'Utilisation by Sector'!$N$39</f>
        <v>1.9362745098039218</v>
      </c>
      <c r="DE13" s="167">
        <f>F13/'Utilisation by Sector'!$O$39</f>
        <v>18.22875816993464</v>
      </c>
      <c r="DF13" s="167">
        <f>G13/'Utilisation by Sector'!$P$39</f>
        <v>0.59053308823529416</v>
      </c>
      <c r="DG13" s="167">
        <f>H13/'Utilisation by Sector'!$Q$39</f>
        <v>9.5670811116153303</v>
      </c>
      <c r="DH13" s="139">
        <f t="shared" si="38"/>
        <v>126.25085470085472</v>
      </c>
      <c r="DI13" s="139">
        <f t="shared" si="39"/>
        <v>133.38509254396203</v>
      </c>
      <c r="DJ13" s="139">
        <f t="shared" si="40"/>
        <v>124.73627450980393</v>
      </c>
      <c r="DK13" s="139">
        <f t="shared" si="41"/>
        <v>141.02875816993466</v>
      </c>
      <c r="DL13" s="139">
        <f t="shared" si="42"/>
        <v>56.953690982972148</v>
      </c>
      <c r="DM13" s="139">
        <f t="shared" si="43"/>
        <v>-8.3329188883846683</v>
      </c>
      <c r="DN13" s="139">
        <f>DH13*'W.F. at Appliance Level'!J13</f>
        <v>126.25085470085472</v>
      </c>
      <c r="DO13" s="139">
        <f>DI13*'W.F. at Appliance Level'!K13+'UCM Services Protected'!DJ13*'W.F. at Appliance Level'!L13+'UCM Services Protected'!DK13*'W.F. at Appliance Level'!M13+'UCM Services Protected'!DL13*'W.F. at Appliance Level'!N13+'UCM Services Protected'!DM13*'W.F. at Appliance Level'!O13</f>
        <v>89.554179463657618</v>
      </c>
      <c r="DP13" s="139">
        <f>DN13*'W.F. End-use Level'!T14+'UCM Services Protected'!DO13*'W.F. End-use Level'!U14</f>
        <v>97.127059174589363</v>
      </c>
      <c r="DQ13" s="134">
        <f>AG13*'W.F. at Subsector Level'!B13+'UCM Services Protected'!AY13*'W.F. at Subsector Level'!C13+'UCM Services Protected'!BQ13*'W.F. at Subsector Level'!D13+'UCM Services Protected'!CI13*'W.F. at Subsector Level'!E13+'UCM Services Protected'!DA13*'W.F. at Subsector Level'!F13+'UCM Services Protected'!DP13*'W.F. at Subsector Level'!G13</f>
        <v>94.397386251930939</v>
      </c>
    </row>
    <row r="14" spans="1:125" ht="15.75" customHeight="1" x14ac:dyDescent="0.3">
      <c r="A14" s="54" t="s">
        <v>12</v>
      </c>
      <c r="B14" s="166">
        <f>'Appliance Prices'!B14</f>
        <v>157427.92792792793</v>
      </c>
      <c r="C14" s="166">
        <f>'Appliance Prices'!C14</f>
        <v>43027.5</v>
      </c>
      <c r="D14" s="166">
        <f>'Appliance Prices'!D14</f>
        <v>159155.959752322</v>
      </c>
      <c r="E14" s="166">
        <f>'Appliance Prices'!E14</f>
        <v>14785.336538461539</v>
      </c>
      <c r="F14" s="166">
        <f>'Appliance Prices'!F14</f>
        <v>364239.75495103037</v>
      </c>
      <c r="G14" s="166">
        <f>'Appliance Prices'!G14</f>
        <v>36343.079494316153</v>
      </c>
      <c r="H14" s="166">
        <f>'Appliance Prices'!H14</f>
        <v>47553.759398496237</v>
      </c>
      <c r="I14" s="166">
        <f>'Fuel Prices excl. VAT'!B13</f>
        <v>2.87E-2</v>
      </c>
      <c r="J14" s="166">
        <f>'Fuel Prices excl. VAT'!D13</f>
        <v>0.10580000000000001</v>
      </c>
      <c r="K14" s="166">
        <f>'Fuel Prices excl. VAT'!F13</f>
        <v>7.5403082605298669E-2</v>
      </c>
      <c r="L14" s="166">
        <f>'Fuel Prices excl. VAT'!H13</f>
        <v>4.4999999999999998E-2</v>
      </c>
      <c r="M14" s="166">
        <f t="shared" si="0"/>
        <v>7.7100000000000002E-2</v>
      </c>
      <c r="N14" s="166">
        <f t="shared" si="1"/>
        <v>4.6703082605298665E-2</v>
      </c>
      <c r="O14" s="166">
        <f t="shared" si="2"/>
        <v>1.6299999999999999E-2</v>
      </c>
      <c r="P14" s="166">
        <f>B14/'Utilisation by Sector'!$K$9</f>
        <v>10.812357687357688</v>
      </c>
      <c r="Q14" s="166">
        <f>C14/'Utilisation by Sector'!$L$9</f>
        <v>0.49253090659340659</v>
      </c>
      <c r="R14" s="166">
        <f>D14/'Utilisation by Sector'!$M$9</f>
        <v>1.8218401986300594</v>
      </c>
      <c r="S14" s="166">
        <f>E14/'Utilisation by Sector'!$N$9</f>
        <v>0.36978132599193525</v>
      </c>
      <c r="T14" s="166">
        <f>F14/'Utilisation by Sector'!$O$9</f>
        <v>4.2511642734714092</v>
      </c>
      <c r="U14" s="166">
        <f>G14/'Utilisation by Sector'!$P$9</f>
        <v>0.31812919725416799</v>
      </c>
      <c r="V14" s="166">
        <f>H14/'Utilisation by Sector'!$Q$9</f>
        <v>0.41626189949664072</v>
      </c>
      <c r="W14" s="138">
        <f t="shared" si="3"/>
        <v>87.912357687357698</v>
      </c>
      <c r="X14" s="138">
        <f t="shared" si="4"/>
        <v>77.59253090659341</v>
      </c>
      <c r="Y14" s="138">
        <f t="shared" si="5"/>
        <v>78.921840198630065</v>
      </c>
      <c r="Z14" s="138">
        <f t="shared" si="6"/>
        <v>77.469781325991946</v>
      </c>
      <c r="AA14" s="138">
        <f t="shared" si="7"/>
        <v>81.351164273471412</v>
      </c>
      <c r="AB14" s="138">
        <f t="shared" si="8"/>
        <v>47.021211802552834</v>
      </c>
      <c r="AC14" s="138">
        <f t="shared" si="9"/>
        <v>16.716261899496637</v>
      </c>
      <c r="AD14" s="138">
        <f>W14*'W.F. at Appliance Level'!I14</f>
        <v>87.912357687357698</v>
      </c>
      <c r="AE14" s="138">
        <f>X14*'W.F. at Appliance Level'!J14</f>
        <v>77.59253090659341</v>
      </c>
      <c r="AF14" s="138">
        <f>Y14*'W.F. at Appliance Level'!K14+'UCM Services Protected'!Z14*'W.F. at Appliance Level'!L14+'UCM Services Protected'!AA14*'W.F. at Appliance Level'!M14+'UCM Services Protected'!AB14*'W.F. at Appliance Level'!N14+'UCM Services Protected'!AC14*'W.F. at Appliance Level'!O14</f>
        <v>60.296051900028573</v>
      </c>
      <c r="AG14" s="138">
        <f>AD14*'W.F. End-use Level'!E15+'UCM Services Protected'!AE14*'W.F. End-use Level'!F15+'UCM Services Protected'!AF14*'W.F. End-use Level'!G15</f>
        <v>65.323803190721918</v>
      </c>
      <c r="AH14" s="166">
        <f>B14/'Utilisation by Sector'!$K$15</f>
        <v>27.618934724197882</v>
      </c>
      <c r="AI14" s="166">
        <f>C14/'Utilisation by Sector'!$L$15</f>
        <v>2.8307565789473683</v>
      </c>
      <c r="AJ14" s="166">
        <f>D14/'Utilisation by Sector'!$M$15</f>
        <v>11.702644099435441</v>
      </c>
      <c r="AK14" s="166">
        <f>E14/'Utilisation by Sector'!$N$15</f>
        <v>1.5530815691661279</v>
      </c>
      <c r="AL14" s="166">
        <f>F14/'Utilisation by Sector'!$O$15</f>
        <v>17.85488994857992</v>
      </c>
      <c r="AM14" s="166">
        <f>G14/'Utilisation by Sector'!$P$15</f>
        <v>1.3361426284675055</v>
      </c>
      <c r="AN14" s="166">
        <f>H14/'Utilisation by Sector'!$Q$15</f>
        <v>1.748299977885891</v>
      </c>
      <c r="AO14" s="138">
        <f t="shared" si="10"/>
        <v>104.71893472419789</v>
      </c>
      <c r="AP14" s="138">
        <f t="shared" si="11"/>
        <v>79.930756578947381</v>
      </c>
      <c r="AQ14" s="138">
        <f t="shared" si="12"/>
        <v>88.802644099435454</v>
      </c>
      <c r="AR14" s="138">
        <f t="shared" si="13"/>
        <v>78.653081569166133</v>
      </c>
      <c r="AS14" s="138">
        <f t="shared" si="14"/>
        <v>94.954889948579932</v>
      </c>
      <c r="AT14" s="138">
        <f t="shared" si="15"/>
        <v>48.039225233766174</v>
      </c>
      <c r="AU14" s="138">
        <f t="shared" si="16"/>
        <v>18.04829997788589</v>
      </c>
      <c r="AV14" s="138">
        <f>AO14*'W.F. at Appliance Level'!I14</f>
        <v>104.71893472419789</v>
      </c>
      <c r="AW14" s="138">
        <f>AP14*'W.F. at Appliance Level'!J14</f>
        <v>79.930756578947381</v>
      </c>
      <c r="AX14" s="138">
        <f>AQ14*'W.F. at Appliance Level'!K14+'UCM Services Protected'!AR14*'W.F. at Appliance Level'!L14+'UCM Services Protected'!AS14*'W.F. at Appliance Level'!M14+'UCM Services Protected'!AT14*'W.F. at Appliance Level'!N14+'UCM Services Protected'!AU14*'W.F. at Appliance Level'!O14</f>
        <v>65.699628165766725</v>
      </c>
      <c r="AY14" s="138">
        <f>AV14*'W.F. End-use Level'!H15+'UCM Services Protected'!AW14*'W.F. End-use Level'!I15+'UCM Services Protected'!AX14*'W.F. End-use Level'!J15</f>
        <v>71.037224269593537</v>
      </c>
      <c r="AZ14" s="166">
        <f>B14/'Utilisation by Sector'!$K$21</f>
        <v>43.249430749430751</v>
      </c>
      <c r="BA14" s="166">
        <f>C14/'Utilisation by Sector'!$L$21</f>
        <v>0.49253090659340659</v>
      </c>
      <c r="BB14" s="166">
        <f>D14/'Utilisation by Sector'!$M$21</f>
        <v>1.8218401986300594</v>
      </c>
      <c r="BC14" s="166">
        <f>E14/'Utilisation by Sector'!$N$21</f>
        <v>0.36978132599193525</v>
      </c>
      <c r="BD14" s="166">
        <f>F14/'Utilisation by Sector'!$O$21</f>
        <v>4.2511642734714092</v>
      </c>
      <c r="BE14" s="166">
        <f>G14/'Utilisation by Sector'!$P$21</f>
        <v>0.31812919725416799</v>
      </c>
      <c r="BF14" s="166">
        <f>H14/'Utilisation by Sector'!$Q$21</f>
        <v>0.41626189949664072</v>
      </c>
      <c r="BG14" s="138">
        <f t="shared" si="17"/>
        <v>120.34943074943075</v>
      </c>
      <c r="BH14" s="138">
        <f t="shared" si="18"/>
        <v>77.59253090659341</v>
      </c>
      <c r="BI14" s="138">
        <f t="shared" si="19"/>
        <v>78.921840198630065</v>
      </c>
      <c r="BJ14" s="138">
        <f t="shared" si="20"/>
        <v>77.469781325991946</v>
      </c>
      <c r="BK14" s="138">
        <f t="shared" si="21"/>
        <v>81.351164273471412</v>
      </c>
      <c r="BL14" s="138">
        <f t="shared" si="22"/>
        <v>47.021211802552834</v>
      </c>
      <c r="BM14" s="138">
        <f t="shared" si="23"/>
        <v>16.716261899496637</v>
      </c>
      <c r="BN14" s="138">
        <f>BG14*'W.F. at Appliance Level'!I14</f>
        <v>120.34943074943075</v>
      </c>
      <c r="BO14" s="138">
        <f>BH14*'W.F. at Appliance Level'!J14</f>
        <v>77.59253090659341</v>
      </c>
      <c r="BP14" s="138">
        <f>BI14*'W.F. at Appliance Level'!K14+'UCM Services Protected'!BJ14*'W.F. at Appliance Level'!L14+'UCM Services Protected'!BK14*'W.F. at Appliance Level'!M14+'UCM Services Protected'!BL14*'W.F. at Appliance Level'!N14+'UCM Services Protected'!BM14*'W.F. at Appliance Level'!O14</f>
        <v>60.296051900028573</v>
      </c>
      <c r="BQ14" s="138">
        <f>BN14*'W.F. End-use Level'!K15+'UCM Services Protected'!BO14*'W.F. End-use Level'!L15+'UCM Services Protected'!BP14*'W.F. End-use Level'!M15</f>
        <v>67.713965435082983</v>
      </c>
      <c r="BR14" s="166">
        <f>B14/'Utilisation by Sector'!$K$27</f>
        <v>43.249430749430751</v>
      </c>
      <c r="BS14" s="166">
        <f>C14/'Utilisation by Sector'!$L$27</f>
        <v>0.49253090659340659</v>
      </c>
      <c r="BT14" s="166">
        <f>D14/'Utilisation by Sector'!$M$27</f>
        <v>1.8218401986300594</v>
      </c>
      <c r="BU14" s="166">
        <f>E14/'Utilisation by Sector'!$N$27</f>
        <v>0.36978132599193525</v>
      </c>
      <c r="BV14" s="166">
        <f>F14/'Utilisation by Sector'!$O$27</f>
        <v>4.2511642734714092</v>
      </c>
      <c r="BW14" s="166">
        <f>G14/'Utilisation by Sector'!$P$27</f>
        <v>0.31812919725416799</v>
      </c>
      <c r="BX14" s="166">
        <f>H14/'Utilisation by Sector'!$Q$27</f>
        <v>0.41626189949664072</v>
      </c>
      <c r="BY14" s="138">
        <f t="shared" si="24"/>
        <v>120.34943074943075</v>
      </c>
      <c r="BZ14" s="138">
        <f t="shared" si="25"/>
        <v>77.59253090659341</v>
      </c>
      <c r="CA14" s="138">
        <f t="shared" si="26"/>
        <v>78.921840198630065</v>
      </c>
      <c r="CB14" s="138">
        <f t="shared" si="27"/>
        <v>77.469781325991946</v>
      </c>
      <c r="CC14" s="138">
        <f t="shared" si="28"/>
        <v>81.351164273471412</v>
      </c>
      <c r="CD14" s="138">
        <f t="shared" si="29"/>
        <v>47.021211802552834</v>
      </c>
      <c r="CE14" s="138">
        <f t="shared" si="30"/>
        <v>16.716261899496637</v>
      </c>
      <c r="CF14" s="138">
        <f>BY14*'W.F. at Appliance Level'!I14</f>
        <v>120.34943074943075</v>
      </c>
      <c r="CG14" s="138">
        <f>BZ14*'W.F. at Appliance Level'!J14</f>
        <v>77.59253090659341</v>
      </c>
      <c r="CH14" s="138">
        <f>CA14*'W.F. at Appliance Level'!K14+'UCM Services Protected'!CB14*'W.F. at Appliance Level'!L14+'UCM Services Protected'!CC14*'W.F. at Appliance Level'!M14+'UCM Services Protected'!CD14*'W.F. at Appliance Level'!N14+'UCM Services Protected'!CE14*'W.F. at Appliance Level'!O14</f>
        <v>60.296051900028573</v>
      </c>
      <c r="CI14" s="138">
        <f>CF14*'W.F. End-use Level'!N15+'UCM Services Protected'!CG14*'W.F. End-use Level'!O15+'UCM Services Protected'!CH14*'W.F. End-use Level'!P15</f>
        <v>67.713965435082983</v>
      </c>
      <c r="CJ14" s="166">
        <f>B14/'Utilisation by Sector'!$K$33</f>
        <v>10.812357687357688</v>
      </c>
      <c r="CK14" s="166">
        <f>C14/'Utilisation by Sector'!$L$33</f>
        <v>0.49253090659340659</v>
      </c>
      <c r="CL14" s="166">
        <f>D14/'Utilisation by Sector'!$M$33</f>
        <v>1.8218401986300594</v>
      </c>
      <c r="CM14" s="166">
        <f>E14/'Utilisation by Sector'!$N$33</f>
        <v>0.36978132599193525</v>
      </c>
      <c r="CN14" s="166">
        <f>F14/'Utilisation by Sector'!$O$33</f>
        <v>4.2511642734714092</v>
      </c>
      <c r="CO14" s="166">
        <f>G14/'Utilisation by Sector'!$P$33</f>
        <v>0.31812919725416799</v>
      </c>
      <c r="CP14" s="166">
        <f>H14/'Utilisation by Sector'!$Q$33</f>
        <v>0.41626189949664072</v>
      </c>
      <c r="CQ14" s="138">
        <f t="shared" si="31"/>
        <v>87.912357687357698</v>
      </c>
      <c r="CR14" s="138">
        <f t="shared" si="32"/>
        <v>77.59253090659341</v>
      </c>
      <c r="CS14" s="138">
        <f t="shared" si="33"/>
        <v>78.921840198630065</v>
      </c>
      <c r="CT14" s="138">
        <f t="shared" si="34"/>
        <v>77.469781325991946</v>
      </c>
      <c r="CU14" s="138">
        <f t="shared" si="35"/>
        <v>81.351164273471412</v>
      </c>
      <c r="CV14" s="138">
        <f t="shared" si="36"/>
        <v>47.021211802552834</v>
      </c>
      <c r="CW14" s="138">
        <f t="shared" si="37"/>
        <v>16.716261899496637</v>
      </c>
      <c r="CX14" s="138">
        <f>CQ14*'W.F. at Appliance Level'!I14</f>
        <v>87.912357687357698</v>
      </c>
      <c r="CY14" s="138">
        <f>CR14*'W.F. at Appliance Level'!J14</f>
        <v>77.59253090659341</v>
      </c>
      <c r="CZ14" s="138">
        <f>CS14*'W.F. at Appliance Level'!K14+'UCM Services Protected'!CT14*'W.F. at Appliance Level'!L14+'UCM Services Protected'!CU14*'W.F. at Appliance Level'!M14+'UCM Services Protected'!CV14*'W.F. at Appliance Level'!N14+'UCM Services Protected'!CW14*'W.F. at Appliance Level'!O14</f>
        <v>60.296051900028573</v>
      </c>
      <c r="DA14" s="138">
        <f>CX14*'W.F. End-use Level'!Q15+'UCM Services Protected'!CY14*'W.F. End-use Level'!R15+'UCM Services Protected'!CZ14*'W.F. End-use Level'!S15</f>
        <v>65.323803190721918</v>
      </c>
      <c r="DB14" s="166">
        <f>C14/'Utilisation by Sector'!$L$39</f>
        <v>2.0686298076923078</v>
      </c>
      <c r="DC14" s="166">
        <f>D14/'Utilisation by Sector'!$M$39</f>
        <v>11.702644099435441</v>
      </c>
      <c r="DD14" s="166">
        <f>E14/'Utilisation by Sector'!$N$39</f>
        <v>1.5530815691661279</v>
      </c>
      <c r="DE14" s="166">
        <f>F14/'Utilisation by Sector'!$O$39</f>
        <v>17.85488994857992</v>
      </c>
      <c r="DF14" s="166">
        <f>G14/'Utilisation by Sector'!$P$39</f>
        <v>1.3361426284675055</v>
      </c>
      <c r="DG14" s="166">
        <f>H14/'Utilisation by Sector'!$Q$39</f>
        <v>1.748299977885891</v>
      </c>
      <c r="DH14" s="138">
        <f t="shared" si="38"/>
        <v>79.168629807692312</v>
      </c>
      <c r="DI14" s="138">
        <f t="shared" si="39"/>
        <v>88.802644099435454</v>
      </c>
      <c r="DJ14" s="138">
        <f t="shared" si="40"/>
        <v>78.653081569166133</v>
      </c>
      <c r="DK14" s="138">
        <f t="shared" si="41"/>
        <v>94.954889948579932</v>
      </c>
      <c r="DL14" s="138">
        <f t="shared" si="42"/>
        <v>48.039225233766174</v>
      </c>
      <c r="DM14" s="138">
        <f t="shared" si="43"/>
        <v>18.04829997788589</v>
      </c>
      <c r="DN14" s="138">
        <f>DH14*'W.F. at Appliance Level'!J14</f>
        <v>79.168629807692312</v>
      </c>
      <c r="DO14" s="138">
        <f>DI14*'W.F. at Appliance Level'!K14+'UCM Services Protected'!DJ14*'W.F. at Appliance Level'!L14+'UCM Services Protected'!DK14*'W.F. at Appliance Level'!M14+'UCM Services Protected'!DL14*'W.F. at Appliance Level'!N14+'UCM Services Protected'!DM14*'W.F. at Appliance Level'!O14</f>
        <v>65.699628165766725</v>
      </c>
      <c r="DP14" s="138">
        <f>DN14*'W.F. End-use Level'!T15+'UCM Services Protected'!DO14*'W.F. End-use Level'!U15</f>
        <v>68.215561170824415</v>
      </c>
      <c r="DQ14" s="133">
        <f>AG14*'W.F. at Subsector Level'!B14+'UCM Services Protected'!AY14*'W.F. at Subsector Level'!C14+'UCM Services Protected'!BQ14*'W.F. at Subsector Level'!D14+'UCM Services Protected'!CI14*'W.F. at Subsector Level'!E14+'UCM Services Protected'!DA14*'W.F. at Subsector Level'!F14+'UCM Services Protected'!DP14*'W.F. at Subsector Level'!G14</f>
        <v>67.554720448671304</v>
      </c>
    </row>
    <row r="15" spans="1:125" ht="15.75" customHeight="1" x14ac:dyDescent="0.3">
      <c r="A15" s="54" t="s">
        <v>13</v>
      </c>
      <c r="B15" s="167">
        <f>'Appliance Prices'!B15</f>
        <v>117747.45265151514</v>
      </c>
      <c r="C15" s="167">
        <f>'Appliance Prices'!C15</f>
        <v>59707.5</v>
      </c>
      <c r="D15" s="167">
        <f>'Appliance Prices'!D15</f>
        <v>89178.51725445583</v>
      </c>
      <c r="E15" s="167">
        <f>'Appliance Prices'!E15</f>
        <v>10751.5</v>
      </c>
      <c r="F15" s="167">
        <f>'Appliance Prices'!F15</f>
        <v>243765.02976190479</v>
      </c>
      <c r="G15" s="167">
        <f>'Appliance Prices'!G15</f>
        <v>39007.148677248675</v>
      </c>
      <c r="H15" s="167">
        <f>'Appliance Prices'!H15</f>
        <v>58902.005208333328</v>
      </c>
      <c r="I15" s="167">
        <f>'Fuel Prices excl. VAT'!B14</f>
        <v>2.5399999999999999E-2</v>
      </c>
      <c r="J15" s="167">
        <f>'Fuel Prices excl. VAT'!D14</f>
        <v>0.10059999999999999</v>
      </c>
      <c r="K15" s="167">
        <f>'Fuel Prices excl. VAT'!F14</f>
        <v>0.10156785966718833</v>
      </c>
      <c r="L15" s="167">
        <f>'Fuel Prices excl. VAT'!H14</f>
        <v>4.4999999999999998E-2</v>
      </c>
      <c r="M15" s="167">
        <f t="shared" si="0"/>
        <v>7.5199999999999989E-2</v>
      </c>
      <c r="N15" s="167">
        <f t="shared" si="1"/>
        <v>7.6167859667188337E-2</v>
      </c>
      <c r="O15" s="167">
        <f t="shared" si="2"/>
        <v>1.9599999999999999E-2</v>
      </c>
      <c r="P15" s="167">
        <f>B15/'Utilisation by Sector'!$K$9</f>
        <v>8.0870503194721941</v>
      </c>
      <c r="Q15" s="167">
        <f>C15/'Utilisation by Sector'!$L$9</f>
        <v>0.68346497252747251</v>
      </c>
      <c r="R15" s="167">
        <f>D15/'Utilisation by Sector'!$M$9</f>
        <v>1.0208163605134597</v>
      </c>
      <c r="S15" s="167">
        <f>E15/'Utilisation by Sector'!$N$9</f>
        <v>0.26889505802320929</v>
      </c>
      <c r="T15" s="167">
        <f>F15/'Utilisation by Sector'!$O$9</f>
        <v>2.8450633725712509</v>
      </c>
      <c r="U15" s="167">
        <f>G15/'Utilisation by Sector'!$P$9</f>
        <v>0.34144913057815718</v>
      </c>
      <c r="V15" s="167">
        <f>H15/'Utilisation by Sector'!$Q$9</f>
        <v>0.51559878508695145</v>
      </c>
      <c r="W15" s="139">
        <f t="shared" si="3"/>
        <v>83.287050319472186</v>
      </c>
      <c r="X15" s="139">
        <f t="shared" si="4"/>
        <v>75.883464972527463</v>
      </c>
      <c r="Y15" s="139">
        <f t="shared" si="5"/>
        <v>76.220816360513453</v>
      </c>
      <c r="Z15" s="139">
        <f t="shared" si="6"/>
        <v>75.468895058023193</v>
      </c>
      <c r="AA15" s="139">
        <f t="shared" si="7"/>
        <v>78.045063372571235</v>
      </c>
      <c r="AB15" s="139">
        <f t="shared" si="8"/>
        <v>76.509308797766494</v>
      </c>
      <c r="AC15" s="139">
        <f t="shared" si="9"/>
        <v>20.115598785086949</v>
      </c>
      <c r="AD15" s="139">
        <f>W15*'W.F. at Appliance Level'!I15</f>
        <v>83.287050319472186</v>
      </c>
      <c r="AE15" s="139">
        <f>X15*'W.F. at Appliance Level'!J15</f>
        <v>75.883464972527463</v>
      </c>
      <c r="AF15" s="139">
        <f>Y15*'W.F. at Appliance Level'!K15+'UCM Services Protected'!Z15*'W.F. at Appliance Level'!L15+'UCM Services Protected'!AA15*'W.F. at Appliance Level'!M15+'UCM Services Protected'!AB15*'W.F. at Appliance Level'!N15+'UCM Services Protected'!AC15*'W.F. at Appliance Level'!O15</f>
        <v>65.271936474792255</v>
      </c>
      <c r="AG15" s="139">
        <f>AD15*'W.F. End-use Level'!E16+'UCM Services Protected'!AE15*'W.F. End-use Level'!F16+'UCM Services Protected'!AF15*'W.F. End-use Level'!G16</f>
        <v>71.647286323795555</v>
      </c>
      <c r="AH15" s="167">
        <f>B15/'Utilisation by Sector'!$K$15</f>
        <v>20.657447833599146</v>
      </c>
      <c r="AI15" s="167">
        <f>C15/'Utilisation by Sector'!$L$15</f>
        <v>3.9281250000000001</v>
      </c>
      <c r="AJ15" s="167">
        <f>D15/'Utilisation by Sector'!$M$15</f>
        <v>6.5572439157688107</v>
      </c>
      <c r="AK15" s="167">
        <f>E15/'Utilisation by Sector'!$N$15</f>
        <v>1.1293592436974791</v>
      </c>
      <c r="AL15" s="167">
        <f>F15/'Utilisation by Sector'!$O$15</f>
        <v>11.949266164799255</v>
      </c>
      <c r="AM15" s="167">
        <f>G15/'Utilisation by Sector'!$P$15</f>
        <v>1.4340863484282602</v>
      </c>
      <c r="AN15" s="167">
        <f>H15/'Utilisation by Sector'!$Q$15</f>
        <v>2.1655148973651959</v>
      </c>
      <c r="AO15" s="139">
        <f t="shared" si="10"/>
        <v>95.857447833599139</v>
      </c>
      <c r="AP15" s="139">
        <f t="shared" si="11"/>
        <v>79.128124999999983</v>
      </c>
      <c r="AQ15" s="139">
        <f t="shared" si="12"/>
        <v>81.757243915768797</v>
      </c>
      <c r="AR15" s="139">
        <f t="shared" si="13"/>
        <v>76.329359243697468</v>
      </c>
      <c r="AS15" s="139">
        <f t="shared" si="14"/>
        <v>87.149266164799243</v>
      </c>
      <c r="AT15" s="139">
        <f t="shared" si="15"/>
        <v>77.601946015616605</v>
      </c>
      <c r="AU15" s="139">
        <f t="shared" si="16"/>
        <v>21.765514897365193</v>
      </c>
      <c r="AV15" s="139">
        <f>AO15*'W.F. at Appliance Level'!I15</f>
        <v>95.857447833599139</v>
      </c>
      <c r="AW15" s="139">
        <f>AP15*'W.F. at Appliance Level'!J15</f>
        <v>79.128124999999983</v>
      </c>
      <c r="AX15" s="139">
        <f>AQ15*'W.F. at Appliance Level'!K15+'UCM Services Protected'!AR15*'W.F. at Appliance Level'!L15+'UCM Services Protected'!AS15*'W.F. at Appliance Level'!M15+'UCM Services Protected'!AT15*'W.F. at Appliance Level'!N15+'UCM Services Protected'!AU15*'W.F. at Appliance Level'!O15</f>
        <v>68.920666047449473</v>
      </c>
      <c r="AY15" s="139">
        <f>AV15*'W.F. End-use Level'!H16+'UCM Services Protected'!AW15*'W.F. End-use Level'!I16+'UCM Services Protected'!AX15*'W.F. End-use Level'!J16</f>
        <v>77.013851636480354</v>
      </c>
      <c r="AZ15" s="167">
        <f>B15/'Utilisation by Sector'!$K$21</f>
        <v>32.348201277888776</v>
      </c>
      <c r="BA15" s="167">
        <f>C15/'Utilisation by Sector'!$L$21</f>
        <v>0.68346497252747251</v>
      </c>
      <c r="BB15" s="167">
        <f>D15/'Utilisation by Sector'!$M$21</f>
        <v>1.0208163605134597</v>
      </c>
      <c r="BC15" s="167">
        <f>E15/'Utilisation by Sector'!$N$21</f>
        <v>0.26889505802320929</v>
      </c>
      <c r="BD15" s="167">
        <f>F15/'Utilisation by Sector'!$O$21</f>
        <v>2.8450633725712509</v>
      </c>
      <c r="BE15" s="167">
        <f>G15/'Utilisation by Sector'!$P$21</f>
        <v>0.34144913057815718</v>
      </c>
      <c r="BF15" s="167">
        <f>H15/'Utilisation by Sector'!$Q$21</f>
        <v>0.51559878508695145</v>
      </c>
      <c r="BG15" s="139">
        <f t="shared" si="17"/>
        <v>107.54820127788877</v>
      </c>
      <c r="BH15" s="139">
        <f t="shared" si="18"/>
        <v>75.883464972527463</v>
      </c>
      <c r="BI15" s="139">
        <f t="shared" si="19"/>
        <v>76.220816360513453</v>
      </c>
      <c r="BJ15" s="139">
        <f t="shared" si="20"/>
        <v>75.468895058023193</v>
      </c>
      <c r="BK15" s="139">
        <f t="shared" si="21"/>
        <v>78.045063372571235</v>
      </c>
      <c r="BL15" s="139">
        <f t="shared" si="22"/>
        <v>76.509308797766494</v>
      </c>
      <c r="BM15" s="139">
        <f t="shared" si="23"/>
        <v>20.115598785086949</v>
      </c>
      <c r="BN15" s="139">
        <f>BG15*'W.F. at Appliance Level'!I15</f>
        <v>107.54820127788877</v>
      </c>
      <c r="BO15" s="139">
        <f>BH15*'W.F. at Appliance Level'!J15</f>
        <v>75.883464972527463</v>
      </c>
      <c r="BP15" s="139">
        <f>BI15*'W.F. at Appliance Level'!K15+'UCM Services Protected'!BJ15*'W.F. at Appliance Level'!L15+'UCM Services Protected'!BK15*'W.F. at Appliance Level'!M15+'UCM Services Protected'!BL15*'W.F. at Appliance Level'!N15+'UCM Services Protected'!BM15*'W.F. at Appliance Level'!O15</f>
        <v>65.271936474792255</v>
      </c>
      <c r="BQ15" s="139">
        <f>BN15*'W.F. End-use Level'!K16+'UCM Services Protected'!BO15*'W.F. End-use Level'!L16+'UCM Services Protected'!BP15*'W.F. End-use Level'!M16</f>
        <v>76.598170145272078</v>
      </c>
      <c r="BR15" s="167">
        <f>B15/'Utilisation by Sector'!$K$27</f>
        <v>32.348201277888776</v>
      </c>
      <c r="BS15" s="167">
        <f>C15/'Utilisation by Sector'!$L$27</f>
        <v>0.68346497252747251</v>
      </c>
      <c r="BT15" s="167">
        <f>D15/'Utilisation by Sector'!$M$27</f>
        <v>1.0208163605134597</v>
      </c>
      <c r="BU15" s="167">
        <f>E15/'Utilisation by Sector'!$N$27</f>
        <v>0.26889505802320929</v>
      </c>
      <c r="BV15" s="167">
        <f>F15/'Utilisation by Sector'!$O$27</f>
        <v>2.8450633725712509</v>
      </c>
      <c r="BW15" s="167">
        <f>G15/'Utilisation by Sector'!$P$27</f>
        <v>0.34144913057815718</v>
      </c>
      <c r="BX15" s="167">
        <f>H15/'Utilisation by Sector'!$Q$27</f>
        <v>0.51559878508695145</v>
      </c>
      <c r="BY15" s="139">
        <f t="shared" si="24"/>
        <v>107.54820127788877</v>
      </c>
      <c r="BZ15" s="139">
        <f t="shared" si="25"/>
        <v>75.883464972527463</v>
      </c>
      <c r="CA15" s="139">
        <f t="shared" si="26"/>
        <v>76.220816360513453</v>
      </c>
      <c r="CB15" s="139">
        <f t="shared" si="27"/>
        <v>75.468895058023193</v>
      </c>
      <c r="CC15" s="139">
        <f t="shared" si="28"/>
        <v>78.045063372571235</v>
      </c>
      <c r="CD15" s="139">
        <f t="shared" si="29"/>
        <v>76.509308797766494</v>
      </c>
      <c r="CE15" s="139">
        <f t="shared" si="30"/>
        <v>20.115598785086949</v>
      </c>
      <c r="CF15" s="139">
        <f>BY15*'W.F. at Appliance Level'!I15</f>
        <v>107.54820127788877</v>
      </c>
      <c r="CG15" s="139">
        <f>BZ15*'W.F. at Appliance Level'!J15</f>
        <v>75.883464972527463</v>
      </c>
      <c r="CH15" s="139">
        <f>CA15*'W.F. at Appliance Level'!K15+'UCM Services Protected'!CB15*'W.F. at Appliance Level'!L15+'UCM Services Protected'!CC15*'W.F. at Appliance Level'!M15+'UCM Services Protected'!CD15*'W.F. at Appliance Level'!N15+'UCM Services Protected'!CE15*'W.F. at Appliance Level'!O15</f>
        <v>65.271936474792255</v>
      </c>
      <c r="CI15" s="139">
        <f>CF15*'W.F. End-use Level'!N16+'UCM Services Protected'!CG15*'W.F. End-use Level'!O16+'UCM Services Protected'!CH15*'W.F. End-use Level'!P16</f>
        <v>76.598170145272078</v>
      </c>
      <c r="CJ15" s="167">
        <f>B15/'Utilisation by Sector'!$K$33</f>
        <v>8.0870503194721941</v>
      </c>
      <c r="CK15" s="167">
        <f>C15/'Utilisation by Sector'!$L$33</f>
        <v>0.68346497252747251</v>
      </c>
      <c r="CL15" s="167">
        <f>D15/'Utilisation by Sector'!$M$33</f>
        <v>1.0208163605134597</v>
      </c>
      <c r="CM15" s="167">
        <f>E15/'Utilisation by Sector'!$N$33</f>
        <v>0.26889505802320929</v>
      </c>
      <c r="CN15" s="167">
        <f>F15/'Utilisation by Sector'!$O$33</f>
        <v>2.8450633725712509</v>
      </c>
      <c r="CO15" s="167">
        <f>G15/'Utilisation by Sector'!$P$33</f>
        <v>0.34144913057815718</v>
      </c>
      <c r="CP15" s="167">
        <f>H15/'Utilisation by Sector'!$Q$33</f>
        <v>0.51559878508695145</v>
      </c>
      <c r="CQ15" s="139">
        <f t="shared" si="31"/>
        <v>83.287050319472186</v>
      </c>
      <c r="CR15" s="139">
        <f t="shared" si="32"/>
        <v>75.883464972527463</v>
      </c>
      <c r="CS15" s="139">
        <f t="shared" si="33"/>
        <v>76.220816360513453</v>
      </c>
      <c r="CT15" s="139">
        <f t="shared" si="34"/>
        <v>75.468895058023193</v>
      </c>
      <c r="CU15" s="139">
        <f t="shared" si="35"/>
        <v>78.045063372571235</v>
      </c>
      <c r="CV15" s="139">
        <f t="shared" si="36"/>
        <v>76.509308797766494</v>
      </c>
      <c r="CW15" s="139">
        <f t="shared" si="37"/>
        <v>20.115598785086949</v>
      </c>
      <c r="CX15" s="139">
        <f>CQ15*'W.F. at Appliance Level'!I15</f>
        <v>83.287050319472186</v>
      </c>
      <c r="CY15" s="139">
        <f>CR15*'W.F. at Appliance Level'!J15</f>
        <v>75.883464972527463</v>
      </c>
      <c r="CZ15" s="139">
        <f>CS15*'W.F. at Appliance Level'!K15+'UCM Services Protected'!CT15*'W.F. at Appliance Level'!L15+'UCM Services Protected'!CU15*'W.F. at Appliance Level'!M15+'UCM Services Protected'!CV15*'W.F. at Appliance Level'!N15+'UCM Services Protected'!CW15*'W.F. at Appliance Level'!O15</f>
        <v>65.271936474792255</v>
      </c>
      <c r="DA15" s="139">
        <f>CX15*'W.F. End-use Level'!Q16+'UCM Services Protected'!CY15*'W.F. End-use Level'!R16+'UCM Services Protected'!CZ15*'W.F. End-use Level'!S16</f>
        <v>71.647286323795555</v>
      </c>
      <c r="DB15" s="167">
        <f>C15/'Utilisation by Sector'!$L$39</f>
        <v>2.8705528846153845</v>
      </c>
      <c r="DC15" s="167">
        <f>D15/'Utilisation by Sector'!$M$39</f>
        <v>6.5572439157688107</v>
      </c>
      <c r="DD15" s="167">
        <f>E15/'Utilisation by Sector'!$N$39</f>
        <v>1.1293592436974791</v>
      </c>
      <c r="DE15" s="167">
        <f>F15/'Utilisation by Sector'!$O$39</f>
        <v>11.949266164799255</v>
      </c>
      <c r="DF15" s="167">
        <f>G15/'Utilisation by Sector'!$P$39</f>
        <v>1.4340863484282602</v>
      </c>
      <c r="DG15" s="167">
        <f>H15/'Utilisation by Sector'!$Q$39</f>
        <v>2.1655148973651959</v>
      </c>
      <c r="DH15" s="139">
        <f t="shared" si="38"/>
        <v>78.070552884615367</v>
      </c>
      <c r="DI15" s="139">
        <f t="shared" si="39"/>
        <v>81.757243915768797</v>
      </c>
      <c r="DJ15" s="139">
        <f t="shared" si="40"/>
        <v>76.329359243697468</v>
      </c>
      <c r="DK15" s="139">
        <f t="shared" si="41"/>
        <v>87.149266164799243</v>
      </c>
      <c r="DL15" s="139">
        <f t="shared" si="42"/>
        <v>77.601946015616605</v>
      </c>
      <c r="DM15" s="139">
        <f t="shared" si="43"/>
        <v>21.765514897365193</v>
      </c>
      <c r="DN15" s="139">
        <f>DH15*'W.F. at Appliance Level'!J15</f>
        <v>78.070552884615367</v>
      </c>
      <c r="DO15" s="139">
        <f>DI15*'W.F. at Appliance Level'!K15+'UCM Services Protected'!DJ15*'W.F. at Appliance Level'!L15+'UCM Services Protected'!DK15*'W.F. at Appliance Level'!M15+'UCM Services Protected'!DL15*'W.F. at Appliance Level'!N15+'UCM Services Protected'!DM15*'W.F. at Appliance Level'!O15</f>
        <v>68.920666047449473</v>
      </c>
      <c r="DP15" s="139">
        <f>DN15*'W.F. End-use Level'!T16+'UCM Services Protected'!DO15*'W.F. End-use Level'!U16</f>
        <v>71.844652398459345</v>
      </c>
      <c r="DQ15" s="134">
        <f>AG15*'W.F. at Subsector Level'!B15+'UCM Services Protected'!AY15*'W.F. at Subsector Level'!C15+'UCM Services Protected'!BQ15*'W.F. at Subsector Level'!D15+'UCM Services Protected'!CI15*'W.F. at Subsector Level'!E15+'UCM Services Protected'!DA15*'W.F. at Subsector Level'!F15+'UCM Services Protected'!DP15*'W.F. at Subsector Level'!G15</f>
        <v>74.224902828845842</v>
      </c>
    </row>
    <row r="16" spans="1:125" ht="15.75" customHeight="1" x14ac:dyDescent="0.3">
      <c r="A16" s="54" t="s">
        <v>14</v>
      </c>
      <c r="B16" s="166">
        <f>'Appliance Prices'!B16</f>
        <v>161842.1329057939</v>
      </c>
      <c r="C16" s="166">
        <f>'Appliance Prices'!C16</f>
        <v>45145.069444444445</v>
      </c>
      <c r="D16" s="166">
        <f>'Appliance Prices'!D16</f>
        <v>128259.09006356858</v>
      </c>
      <c r="E16" s="166">
        <f>'Appliance Prices'!E16</f>
        <v>19601.25</v>
      </c>
      <c r="F16" s="166">
        <f>'Appliance Prices'!F16</f>
        <v>512669.38789232972</v>
      </c>
      <c r="G16" s="166">
        <f>'Appliance Prices'!G16</f>
        <v>36343.079494316153</v>
      </c>
      <c r="H16" s="166">
        <f>'Appliance Prices'!H16</f>
        <v>35218.222222222226</v>
      </c>
      <c r="I16" s="166">
        <f>'Fuel Prices excl. VAT'!B15</f>
        <v>2.75E-2</v>
      </c>
      <c r="J16" s="166">
        <f>'Fuel Prices excl. VAT'!D15</f>
        <v>7.9600000000000004E-2</v>
      </c>
      <c r="K16" s="166">
        <f>'Fuel Prices excl. VAT'!F15</f>
        <v>0.10444507833649981</v>
      </c>
      <c r="L16" s="166">
        <f>'Fuel Prices excl. VAT'!H15</f>
        <v>3.2125000000000001E-2</v>
      </c>
      <c r="M16" s="166">
        <f t="shared" si="0"/>
        <v>5.2100000000000007E-2</v>
      </c>
      <c r="N16" s="166">
        <f t="shared" si="1"/>
        <v>7.6945078336499814E-2</v>
      </c>
      <c r="O16" s="166">
        <f t="shared" si="2"/>
        <v>4.6250000000000006E-3</v>
      </c>
      <c r="P16" s="166">
        <f>B16/'Utilisation by Sector'!$K$9</f>
        <v>11.115531106167163</v>
      </c>
      <c r="Q16" s="166">
        <f>C16/'Utilisation by Sector'!$L$9</f>
        <v>0.51677048356735855</v>
      </c>
      <c r="R16" s="166">
        <f>D16/'Utilisation by Sector'!$M$9</f>
        <v>1.4681672397386514</v>
      </c>
      <c r="S16" s="166">
        <f>E16/'Utilisation by Sector'!$N$9</f>
        <v>0.49022734093637454</v>
      </c>
      <c r="T16" s="166">
        <f>F16/'Utilisation by Sector'!$O$9</f>
        <v>5.9835362732531481</v>
      </c>
      <c r="U16" s="166">
        <f>G16/'Utilisation by Sector'!$P$9</f>
        <v>0.31812919725416799</v>
      </c>
      <c r="V16" s="166">
        <f>H16/'Utilisation by Sector'!$Q$9</f>
        <v>0.30828275754746348</v>
      </c>
      <c r="W16" s="138">
        <f t="shared" si="3"/>
        <v>63.21553110616717</v>
      </c>
      <c r="X16" s="138">
        <f t="shared" si="4"/>
        <v>52.616770483567365</v>
      </c>
      <c r="Y16" s="138">
        <f t="shared" si="5"/>
        <v>53.568167239738656</v>
      </c>
      <c r="Z16" s="138">
        <f t="shared" si="6"/>
        <v>52.59022734093638</v>
      </c>
      <c r="AA16" s="138">
        <f t="shared" si="7"/>
        <v>58.083536273253159</v>
      </c>
      <c r="AB16" s="138">
        <f t="shared" si="8"/>
        <v>77.263207533753985</v>
      </c>
      <c r="AC16" s="138">
        <f t="shared" si="9"/>
        <v>4.933282757547464</v>
      </c>
      <c r="AD16" s="138">
        <f>W16*'W.F. at Appliance Level'!I16</f>
        <v>63.21553110616717</v>
      </c>
      <c r="AE16" s="138">
        <f>X16*'W.F. at Appliance Level'!J16</f>
        <v>52.616770483567365</v>
      </c>
      <c r="AF16" s="138">
        <f>Y16*'W.F. at Appliance Level'!K16+'UCM Services Protected'!Z16*'W.F. at Appliance Level'!L16+'UCM Services Protected'!AA16*'W.F. at Appliance Level'!M16+'UCM Services Protected'!AB16*'W.F. at Appliance Level'!N16+'UCM Services Protected'!AC16*'W.F. at Appliance Level'!O16</f>
        <v>49.287684229045929</v>
      </c>
      <c r="AG16" s="138">
        <f>AD16*'W.F. End-use Level'!E17+'UCM Services Protected'!AE16*'W.F. End-use Level'!F17+'UCM Services Protected'!AF16*'W.F. End-use Level'!G17</f>
        <v>50.599710205215182</v>
      </c>
      <c r="AH16" s="166">
        <f>B16/'Utilisation by Sector'!$K$15</f>
        <v>28.393356650139282</v>
      </c>
      <c r="AI16" s="166">
        <f>C16/'Utilisation by Sector'!$L$15</f>
        <v>2.9700703581871344</v>
      </c>
      <c r="AJ16" s="166">
        <f>D16/'Utilisation by Sector'!$M$15</f>
        <v>9.4308154458506319</v>
      </c>
      <c r="AK16" s="166">
        <f>E16/'Utilisation by Sector'!$N$15</f>
        <v>2.0589548319327733</v>
      </c>
      <c r="AL16" s="166">
        <f>F16/'Utilisation by Sector'!$O$15</f>
        <v>25.130852347663222</v>
      </c>
      <c r="AM16" s="166">
        <f>G16/'Utilisation by Sector'!$P$15</f>
        <v>1.3361426284675055</v>
      </c>
      <c r="AN16" s="166">
        <f>H16/'Utilisation by Sector'!$Q$15</f>
        <v>1.2947875816993466</v>
      </c>
      <c r="AO16" s="138">
        <f t="shared" si="10"/>
        <v>80.49335665013929</v>
      </c>
      <c r="AP16" s="138">
        <f t="shared" si="11"/>
        <v>55.070070358187145</v>
      </c>
      <c r="AQ16" s="138">
        <f t="shared" si="12"/>
        <v>61.530815445850642</v>
      </c>
      <c r="AR16" s="138">
        <f t="shared" si="13"/>
        <v>54.158954831932782</v>
      </c>
      <c r="AS16" s="138">
        <f t="shared" si="14"/>
        <v>77.23085234766323</v>
      </c>
      <c r="AT16" s="138">
        <f t="shared" si="15"/>
        <v>78.281220964967318</v>
      </c>
      <c r="AU16" s="138">
        <f t="shared" si="16"/>
        <v>5.9197875816993477</v>
      </c>
      <c r="AV16" s="138">
        <f>AO16*'W.F. at Appliance Level'!I16</f>
        <v>80.49335665013929</v>
      </c>
      <c r="AW16" s="138">
        <f>AP16*'W.F. at Appliance Level'!J16</f>
        <v>55.070070358187145</v>
      </c>
      <c r="AX16" s="138">
        <f>AQ16*'W.F. at Appliance Level'!K16+'UCM Services Protected'!AR16*'W.F. at Appliance Level'!L16+'UCM Services Protected'!AS16*'W.F. at Appliance Level'!M16+'UCM Services Protected'!AT16*'W.F. at Appliance Level'!N16+'UCM Services Protected'!AU16*'W.F. at Appliance Level'!O16</f>
        <v>55.424326234422658</v>
      </c>
      <c r="AY16" s="138">
        <f>AV16*'W.F. End-use Level'!H17+'UCM Services Protected'!AW16*'W.F. End-use Level'!I17+'UCM Services Protected'!AX16*'W.F. End-use Level'!J17</f>
        <v>56.83915521754701</v>
      </c>
      <c r="AZ16" s="166">
        <f>B16/'Utilisation by Sector'!$K$21</f>
        <v>44.462124424668652</v>
      </c>
      <c r="BA16" s="166">
        <f>C16/'Utilisation by Sector'!$L$21</f>
        <v>0.51677048356735855</v>
      </c>
      <c r="BB16" s="166">
        <f>D16/'Utilisation by Sector'!$M$21</f>
        <v>1.4681672397386514</v>
      </c>
      <c r="BC16" s="166">
        <f>E16/'Utilisation by Sector'!$N$21</f>
        <v>0.49022734093637454</v>
      </c>
      <c r="BD16" s="166">
        <f>F16/'Utilisation by Sector'!$O$21</f>
        <v>5.9835362732531481</v>
      </c>
      <c r="BE16" s="166">
        <f>G16/'Utilisation by Sector'!$P$21</f>
        <v>0.31812919725416799</v>
      </c>
      <c r="BF16" s="166">
        <f>H16/'Utilisation by Sector'!$Q$21</f>
        <v>0.30828275754746348</v>
      </c>
      <c r="BG16" s="138">
        <f t="shared" si="17"/>
        <v>96.562124424668667</v>
      </c>
      <c r="BH16" s="138">
        <f t="shared" si="18"/>
        <v>52.616770483567365</v>
      </c>
      <c r="BI16" s="138">
        <f t="shared" si="19"/>
        <v>53.568167239738656</v>
      </c>
      <c r="BJ16" s="138">
        <f t="shared" si="20"/>
        <v>52.59022734093638</v>
      </c>
      <c r="BK16" s="138">
        <f t="shared" si="21"/>
        <v>58.083536273253159</v>
      </c>
      <c r="BL16" s="138">
        <f t="shared" si="22"/>
        <v>77.263207533753985</v>
      </c>
      <c r="BM16" s="138">
        <f t="shared" si="23"/>
        <v>4.933282757547464</v>
      </c>
      <c r="BN16" s="138">
        <f>BG16*'W.F. at Appliance Level'!I16</f>
        <v>96.562124424668667</v>
      </c>
      <c r="BO16" s="138">
        <f>BH16*'W.F. at Appliance Level'!J16</f>
        <v>52.616770483567365</v>
      </c>
      <c r="BP16" s="138">
        <f>BI16*'W.F. at Appliance Level'!K16+'UCM Services Protected'!BJ16*'W.F. at Appliance Level'!L16+'UCM Services Protected'!BK16*'W.F. at Appliance Level'!M16+'UCM Services Protected'!BL16*'W.F. at Appliance Level'!N16+'UCM Services Protected'!BM16*'W.F. at Appliance Level'!O16</f>
        <v>49.287684229045929</v>
      </c>
      <c r="BQ16" s="138">
        <f>BN16*'W.F. End-use Level'!K17+'UCM Services Protected'!BO16*'W.F. End-use Level'!L17+'UCM Services Protected'!BP16*'W.F. End-use Level'!M17</f>
        <v>52.551997959710235</v>
      </c>
      <c r="BR16" s="166">
        <f>B16/'Utilisation by Sector'!$K$27</f>
        <v>44.462124424668652</v>
      </c>
      <c r="BS16" s="166">
        <f>C16/'Utilisation by Sector'!$L$27</f>
        <v>0.51677048356735855</v>
      </c>
      <c r="BT16" s="166">
        <f>D16/'Utilisation by Sector'!$M$27</f>
        <v>1.4681672397386514</v>
      </c>
      <c r="BU16" s="166">
        <f>E16/'Utilisation by Sector'!$N$27</f>
        <v>0.49022734093637454</v>
      </c>
      <c r="BV16" s="166">
        <f>F16/'Utilisation by Sector'!$O$27</f>
        <v>5.9835362732531481</v>
      </c>
      <c r="BW16" s="166">
        <f>G16/'Utilisation by Sector'!$P$27</f>
        <v>0.31812919725416799</v>
      </c>
      <c r="BX16" s="166">
        <f>H16/'Utilisation by Sector'!$Q$27</f>
        <v>0.30828275754746348</v>
      </c>
      <c r="BY16" s="138">
        <f t="shared" si="24"/>
        <v>96.562124424668667</v>
      </c>
      <c r="BZ16" s="138">
        <f t="shared" si="25"/>
        <v>52.616770483567365</v>
      </c>
      <c r="CA16" s="138">
        <f t="shared" si="26"/>
        <v>53.568167239738656</v>
      </c>
      <c r="CB16" s="138">
        <f t="shared" si="27"/>
        <v>52.59022734093638</v>
      </c>
      <c r="CC16" s="138">
        <f t="shared" si="28"/>
        <v>58.083536273253159</v>
      </c>
      <c r="CD16" s="138">
        <f t="shared" si="29"/>
        <v>77.263207533753985</v>
      </c>
      <c r="CE16" s="138">
        <f t="shared" si="30"/>
        <v>4.933282757547464</v>
      </c>
      <c r="CF16" s="138">
        <f>BY16*'W.F. at Appliance Level'!I16</f>
        <v>96.562124424668667</v>
      </c>
      <c r="CG16" s="138">
        <f>BZ16*'W.F. at Appliance Level'!J16</f>
        <v>52.616770483567365</v>
      </c>
      <c r="CH16" s="138">
        <f>CA16*'W.F. at Appliance Level'!K16+'UCM Services Protected'!CB16*'W.F. at Appliance Level'!L16+'UCM Services Protected'!CC16*'W.F. at Appliance Level'!M16+'UCM Services Protected'!CD16*'W.F. at Appliance Level'!N16+'UCM Services Protected'!CE16*'W.F. at Appliance Level'!O16</f>
        <v>49.287684229045929</v>
      </c>
      <c r="CI16" s="138">
        <f>CF16*'W.F. End-use Level'!N17+'UCM Services Protected'!CG16*'W.F. End-use Level'!O17+'UCM Services Protected'!CH16*'W.F. End-use Level'!P17</f>
        <v>52.551997959710235</v>
      </c>
      <c r="CJ16" s="166">
        <f>B16/'Utilisation by Sector'!$K$33</f>
        <v>11.115531106167163</v>
      </c>
      <c r="CK16" s="166">
        <f>C16/'Utilisation by Sector'!$L$33</f>
        <v>0.51677048356735855</v>
      </c>
      <c r="CL16" s="166">
        <f>D16/'Utilisation by Sector'!$M$33</f>
        <v>1.4681672397386514</v>
      </c>
      <c r="CM16" s="166">
        <f>E16/'Utilisation by Sector'!$N$33</f>
        <v>0.49022734093637454</v>
      </c>
      <c r="CN16" s="166">
        <f>F16/'Utilisation by Sector'!$O$33</f>
        <v>5.9835362732531481</v>
      </c>
      <c r="CO16" s="166">
        <f>G16/'Utilisation by Sector'!$P$33</f>
        <v>0.31812919725416799</v>
      </c>
      <c r="CP16" s="166">
        <f>H16/'Utilisation by Sector'!$Q$33</f>
        <v>0.30828275754746348</v>
      </c>
      <c r="CQ16" s="138">
        <f t="shared" si="31"/>
        <v>63.21553110616717</v>
      </c>
      <c r="CR16" s="138">
        <f t="shared" si="32"/>
        <v>52.616770483567365</v>
      </c>
      <c r="CS16" s="138">
        <f t="shared" si="33"/>
        <v>53.568167239738656</v>
      </c>
      <c r="CT16" s="138">
        <f t="shared" si="34"/>
        <v>52.59022734093638</v>
      </c>
      <c r="CU16" s="138">
        <f t="shared" si="35"/>
        <v>58.083536273253159</v>
      </c>
      <c r="CV16" s="138">
        <f t="shared" si="36"/>
        <v>77.263207533753985</v>
      </c>
      <c r="CW16" s="138">
        <f t="shared" si="37"/>
        <v>4.933282757547464</v>
      </c>
      <c r="CX16" s="138">
        <f>CQ16*'W.F. at Appliance Level'!I16</f>
        <v>63.21553110616717</v>
      </c>
      <c r="CY16" s="138">
        <f>CR16*'W.F. at Appliance Level'!J16</f>
        <v>52.616770483567365</v>
      </c>
      <c r="CZ16" s="138">
        <f>CS16*'W.F. at Appliance Level'!K16+'UCM Services Protected'!CT16*'W.F. at Appliance Level'!L16+'UCM Services Protected'!CU16*'W.F. at Appliance Level'!M16+'UCM Services Protected'!CV16*'W.F. at Appliance Level'!N16+'UCM Services Protected'!CW16*'W.F. at Appliance Level'!O16</f>
        <v>49.287684229045929</v>
      </c>
      <c r="DA16" s="138">
        <f>CX16*'W.F. End-use Level'!Q17+'UCM Services Protected'!CY16*'W.F. End-use Level'!R17+'UCM Services Protected'!CZ16*'W.F. End-use Level'!S17</f>
        <v>50.599710205215182</v>
      </c>
      <c r="DB16" s="166">
        <f>C16/'Utilisation by Sector'!$L$39</f>
        <v>2.1704360309829061</v>
      </c>
      <c r="DC16" s="166">
        <f>D16/'Utilisation by Sector'!$M$39</f>
        <v>9.4308154458506319</v>
      </c>
      <c r="DD16" s="166">
        <f>E16/'Utilisation by Sector'!$N$39</f>
        <v>2.0589548319327733</v>
      </c>
      <c r="DE16" s="166">
        <f>F16/'Utilisation by Sector'!$O$39</f>
        <v>25.130852347663222</v>
      </c>
      <c r="DF16" s="166">
        <f>G16/'Utilisation by Sector'!$P$39</f>
        <v>1.3361426284675055</v>
      </c>
      <c r="DG16" s="166">
        <f>H16/'Utilisation by Sector'!$Q$39</f>
        <v>1.2947875816993466</v>
      </c>
      <c r="DH16" s="138">
        <f t="shared" si="38"/>
        <v>54.270436030982914</v>
      </c>
      <c r="DI16" s="138">
        <f t="shared" si="39"/>
        <v>61.530815445850642</v>
      </c>
      <c r="DJ16" s="138">
        <f t="shared" si="40"/>
        <v>54.158954831932782</v>
      </c>
      <c r="DK16" s="138">
        <f t="shared" si="41"/>
        <v>77.23085234766323</v>
      </c>
      <c r="DL16" s="138">
        <f t="shared" si="42"/>
        <v>78.281220964967318</v>
      </c>
      <c r="DM16" s="138">
        <f t="shared" si="43"/>
        <v>5.9197875816993477</v>
      </c>
      <c r="DN16" s="138">
        <f>DH16*'W.F. at Appliance Level'!J16</f>
        <v>54.270436030982914</v>
      </c>
      <c r="DO16" s="138">
        <f>DI16*'W.F. at Appliance Level'!K16+'UCM Services Protected'!DJ16*'W.F. at Appliance Level'!L16+'UCM Services Protected'!DK16*'W.F. at Appliance Level'!M16+'UCM Services Protected'!DL16*'W.F. at Appliance Level'!N16+'UCM Services Protected'!DM16*'W.F. at Appliance Level'!O16</f>
        <v>55.424326234422658</v>
      </c>
      <c r="DP16" s="138">
        <f>DN16*'W.F. End-use Level'!T17+'UCM Services Protected'!DO16*'W.F. End-use Level'!U17</f>
        <v>55.241490865394582</v>
      </c>
      <c r="DQ16" s="133">
        <f>AG16*'W.F. at Subsector Level'!B16+'UCM Services Protected'!AY16*'W.F. at Subsector Level'!C16+'UCM Services Protected'!BQ16*'W.F. at Subsector Level'!D16+'UCM Services Protected'!CI16*'W.F. at Subsector Level'!E16+'UCM Services Protected'!DA16*'W.F. at Subsector Level'!F16+'UCM Services Protected'!DP16*'W.F. at Subsector Level'!G16</f>
        <v>53.064010402132084</v>
      </c>
    </row>
    <row r="17" spans="1:121" ht="15.75" customHeight="1" x14ac:dyDescent="0.3">
      <c r="A17" s="54" t="s">
        <v>15</v>
      </c>
      <c r="B17" s="167">
        <f>'Appliance Prices'!B17</f>
        <v>138795</v>
      </c>
      <c r="C17" s="167">
        <f>'Appliance Prices'!C17</f>
        <v>26930.75</v>
      </c>
      <c r="D17" s="167">
        <f>'Appliance Prices'!D17</f>
        <v>56742.490053050402</v>
      </c>
      <c r="E17" s="167">
        <f>'Appliance Prices'!E17</f>
        <v>7074.6666666666661</v>
      </c>
      <c r="F17" s="167">
        <f>'Appliance Prices'!F17</f>
        <v>578490.90909090918</v>
      </c>
      <c r="G17" s="167">
        <f>'Appliance Prices'!G17</f>
        <v>245446.32675559475</v>
      </c>
      <c r="H17" s="167">
        <f>'Appliance Prices'!H17</f>
        <v>113006.8253968254</v>
      </c>
      <c r="I17" s="167">
        <f>'Fuel Prices excl. VAT'!B16</f>
        <v>3.39E-2</v>
      </c>
      <c r="J17" s="167">
        <f>'Fuel Prices excl. VAT'!D16</f>
        <v>0.11849999999999999</v>
      </c>
      <c r="K17" s="167">
        <f>'Fuel Prices excl. VAT'!F16</f>
        <v>8.1602857228249503E-2</v>
      </c>
      <c r="L17" s="167">
        <f>'Fuel Prices excl. VAT'!H16</f>
        <v>4.4999999999999998E-2</v>
      </c>
      <c r="M17" s="167">
        <f t="shared" si="0"/>
        <v>8.4599999999999995E-2</v>
      </c>
      <c r="N17" s="167">
        <f t="shared" si="1"/>
        <v>4.7702857228249504E-2</v>
      </c>
      <c r="O17" s="167">
        <f t="shared" si="2"/>
        <v>1.1099999999999999E-2</v>
      </c>
      <c r="P17" s="167">
        <f>B17/'Utilisation by Sector'!$K$9</f>
        <v>9.5326236263736259</v>
      </c>
      <c r="Q17" s="167">
        <f>C17/'Utilisation by Sector'!$L$9</f>
        <v>0.30827323717948718</v>
      </c>
      <c r="R17" s="167">
        <f>D17/'Utilisation by Sector'!$M$9</f>
        <v>0.64952484035085167</v>
      </c>
      <c r="S17" s="167">
        <f>E17/'Utilisation by Sector'!$N$9</f>
        <v>0.17693744164332398</v>
      </c>
      <c r="T17" s="167">
        <f>F17/'Utilisation by Sector'!$O$9</f>
        <v>6.7517613105848406</v>
      </c>
      <c r="U17" s="167">
        <f>G17/'Utilisation by Sector'!$P$9</f>
        <v>2.148514765017461</v>
      </c>
      <c r="V17" s="167">
        <f>H17/'Utilisation by Sector'!$Q$9</f>
        <v>0.98920540438397586</v>
      </c>
      <c r="W17" s="139">
        <f t="shared" si="3"/>
        <v>94.132623626373615</v>
      </c>
      <c r="X17" s="139">
        <f t="shared" si="4"/>
        <v>84.908273237179486</v>
      </c>
      <c r="Y17" s="139">
        <f t="shared" si="5"/>
        <v>85.249524840350844</v>
      </c>
      <c r="Z17" s="139">
        <f t="shared" si="6"/>
        <v>84.776937441643312</v>
      </c>
      <c r="AA17" s="139">
        <f t="shared" si="7"/>
        <v>91.351761310584834</v>
      </c>
      <c r="AB17" s="139">
        <f t="shared" si="8"/>
        <v>49.851371993266966</v>
      </c>
      <c r="AC17" s="139">
        <f t="shared" si="9"/>
        <v>12.089205404383973</v>
      </c>
      <c r="AD17" s="139">
        <f>W17*'W.F. at Appliance Level'!I17</f>
        <v>94.132623626373615</v>
      </c>
      <c r="AE17" s="139">
        <f>X17*'W.F. at Appliance Level'!J17</f>
        <v>84.908273237179486</v>
      </c>
      <c r="AF17" s="139">
        <f>Y17*'W.F. at Appliance Level'!K17+'UCM Services Protected'!Z17*'W.F. at Appliance Level'!L17+'UCM Services Protected'!AA17*'W.F. at Appliance Level'!M17+'UCM Services Protected'!AB17*'W.F. at Appliance Level'!N17+'UCM Services Protected'!AC17*'W.F. at Appliance Level'!O17</f>
        <v>64.663760198045992</v>
      </c>
      <c r="AG17" s="139">
        <f>AD17*'W.F. End-use Level'!E18+'UCM Services Protected'!AE17*'W.F. End-use Level'!F18+'UCM Services Protected'!AF17*'W.F. End-use Level'!G18</f>
        <v>71.444122452672715</v>
      </c>
      <c r="AH17" s="167">
        <f>B17/'Utilisation by Sector'!$K$15</f>
        <v>24.35</v>
      </c>
      <c r="AI17" s="167">
        <f>C17/'Utilisation by Sector'!$L$15</f>
        <v>1.7717598684210527</v>
      </c>
      <c r="AJ17" s="167">
        <f>D17/'Utilisation by Sector'!$M$15</f>
        <v>4.1722419156654711</v>
      </c>
      <c r="AK17" s="167">
        <f>E17/'Utilisation by Sector'!$N$15</f>
        <v>0.7431372549019607</v>
      </c>
      <c r="AL17" s="167">
        <f>F17/'Utilisation by Sector'!$O$15</f>
        <v>28.357397504456333</v>
      </c>
      <c r="AM17" s="167">
        <f>G17/'Utilisation by Sector'!$P$15</f>
        <v>9.0237620130733358</v>
      </c>
      <c r="AN17" s="167">
        <f>H17/'Utilisation by Sector'!$Q$15</f>
        <v>4.1546626984126984</v>
      </c>
      <c r="AO17" s="139">
        <f t="shared" si="10"/>
        <v>108.94999999999999</v>
      </c>
      <c r="AP17" s="139">
        <f t="shared" si="11"/>
        <v>86.371759868421051</v>
      </c>
      <c r="AQ17" s="139">
        <f t="shared" si="12"/>
        <v>88.772241915665461</v>
      </c>
      <c r="AR17" s="139">
        <f t="shared" si="13"/>
        <v>85.343137254901961</v>
      </c>
      <c r="AS17" s="139">
        <f t="shared" si="14"/>
        <v>112.95739750445632</v>
      </c>
      <c r="AT17" s="139">
        <f t="shared" si="15"/>
        <v>56.726619241322844</v>
      </c>
      <c r="AU17" s="139">
        <f t="shared" si="16"/>
        <v>15.254662698412696</v>
      </c>
      <c r="AV17" s="139">
        <f>AO17*'W.F. at Appliance Level'!I17</f>
        <v>108.94999999999999</v>
      </c>
      <c r="AW17" s="139">
        <f>AP17*'W.F. at Appliance Level'!J17</f>
        <v>86.371759868421051</v>
      </c>
      <c r="AX17" s="139">
        <f>AQ17*'W.F. at Appliance Level'!K17+'UCM Services Protected'!AR17*'W.F. at Appliance Level'!L17+'UCM Services Protected'!AS17*'W.F. at Appliance Level'!M17+'UCM Services Protected'!AT17*'W.F. at Appliance Level'!N17+'UCM Services Protected'!AU17*'W.F. at Appliance Level'!O17</f>
        <v>71.810811722951854</v>
      </c>
      <c r="AY17" s="139">
        <f>AV17*'W.F. End-use Level'!H18+'UCM Services Protected'!AW17*'W.F. End-use Level'!I18+'UCM Services Protected'!AX17*'W.F. End-use Level'!J18</f>
        <v>78.149027317999455</v>
      </c>
      <c r="AZ17" s="167">
        <f>B17/'Utilisation by Sector'!$K$21</f>
        <v>38.130494505494504</v>
      </c>
      <c r="BA17" s="167">
        <f>C17/'Utilisation by Sector'!$L$21</f>
        <v>0.30827323717948718</v>
      </c>
      <c r="BB17" s="167">
        <f>D17/'Utilisation by Sector'!$M$21</f>
        <v>0.64952484035085167</v>
      </c>
      <c r="BC17" s="167">
        <f>E17/'Utilisation by Sector'!$N$21</f>
        <v>0.17693744164332398</v>
      </c>
      <c r="BD17" s="167">
        <f>F17/'Utilisation by Sector'!$O$21</f>
        <v>6.7517613105848406</v>
      </c>
      <c r="BE17" s="167">
        <f>G17/'Utilisation by Sector'!$P$21</f>
        <v>2.148514765017461</v>
      </c>
      <c r="BF17" s="167">
        <f>H17/'Utilisation by Sector'!$Q$21</f>
        <v>0.98920540438397586</v>
      </c>
      <c r="BG17" s="139">
        <f t="shared" si="17"/>
        <v>122.73049450549451</v>
      </c>
      <c r="BH17" s="139">
        <f t="shared" si="18"/>
        <v>84.908273237179486</v>
      </c>
      <c r="BI17" s="139">
        <f t="shared" si="19"/>
        <v>85.249524840350844</v>
      </c>
      <c r="BJ17" s="139">
        <f t="shared" si="20"/>
        <v>84.776937441643312</v>
      </c>
      <c r="BK17" s="139">
        <f t="shared" si="21"/>
        <v>91.351761310584834</v>
      </c>
      <c r="BL17" s="139">
        <f t="shared" si="22"/>
        <v>49.851371993266966</v>
      </c>
      <c r="BM17" s="139">
        <f t="shared" si="23"/>
        <v>12.089205404383973</v>
      </c>
      <c r="BN17" s="139">
        <f>BG17*'W.F. at Appliance Level'!I17</f>
        <v>122.73049450549451</v>
      </c>
      <c r="BO17" s="139">
        <f>BH17*'W.F. at Appliance Level'!J17</f>
        <v>84.908273237179486</v>
      </c>
      <c r="BP17" s="139">
        <f>BI17*'W.F. at Appliance Level'!K17+'UCM Services Protected'!BJ17*'W.F. at Appliance Level'!L17+'UCM Services Protected'!BK17*'W.F. at Appliance Level'!M17+'UCM Services Protected'!BL17*'W.F. at Appliance Level'!N17+'UCM Services Protected'!BM17*'W.F. at Appliance Level'!O17</f>
        <v>64.663760198045992</v>
      </c>
      <c r="BQ17" s="139">
        <f>BN17*'W.F. End-use Level'!K18+'UCM Services Protected'!BO17*'W.F. End-use Level'!L18+'UCM Services Protected'!BP17*'W.F. End-use Level'!M18</f>
        <v>74.065444898721424</v>
      </c>
      <c r="BR17" s="167">
        <f>B17/'Utilisation by Sector'!$K$27</f>
        <v>38.130494505494504</v>
      </c>
      <c r="BS17" s="167">
        <f>C17/'Utilisation by Sector'!$L$27</f>
        <v>0.30827323717948718</v>
      </c>
      <c r="BT17" s="167">
        <f>D17/'Utilisation by Sector'!$M$27</f>
        <v>0.64952484035085167</v>
      </c>
      <c r="BU17" s="167">
        <f>E17/'Utilisation by Sector'!$N$27</f>
        <v>0.17693744164332398</v>
      </c>
      <c r="BV17" s="167">
        <f>F17/'Utilisation by Sector'!$O$27</f>
        <v>6.7517613105848406</v>
      </c>
      <c r="BW17" s="167">
        <f>G17/'Utilisation by Sector'!$P$27</f>
        <v>2.148514765017461</v>
      </c>
      <c r="BX17" s="167">
        <f>H17/'Utilisation by Sector'!$Q$27</f>
        <v>0.98920540438397586</v>
      </c>
      <c r="BY17" s="139">
        <f t="shared" si="24"/>
        <v>122.73049450549451</v>
      </c>
      <c r="BZ17" s="139">
        <f t="shared" si="25"/>
        <v>84.908273237179486</v>
      </c>
      <c r="CA17" s="139">
        <f t="shared" si="26"/>
        <v>85.249524840350844</v>
      </c>
      <c r="CB17" s="139">
        <f t="shared" si="27"/>
        <v>84.776937441643312</v>
      </c>
      <c r="CC17" s="139">
        <f t="shared" si="28"/>
        <v>91.351761310584834</v>
      </c>
      <c r="CD17" s="139">
        <f t="shared" si="29"/>
        <v>49.851371993266966</v>
      </c>
      <c r="CE17" s="139">
        <f t="shared" si="30"/>
        <v>12.089205404383973</v>
      </c>
      <c r="CF17" s="139">
        <f>BY17*'W.F. at Appliance Level'!I17</f>
        <v>122.73049450549451</v>
      </c>
      <c r="CG17" s="139">
        <f>BZ17*'W.F. at Appliance Level'!J17</f>
        <v>84.908273237179486</v>
      </c>
      <c r="CH17" s="139">
        <f>CA17*'W.F. at Appliance Level'!K17+'UCM Services Protected'!CB17*'W.F. at Appliance Level'!L17+'UCM Services Protected'!CC17*'W.F. at Appliance Level'!M17+'UCM Services Protected'!CD17*'W.F. at Appliance Level'!N17+'UCM Services Protected'!CE17*'W.F. at Appliance Level'!O17</f>
        <v>64.663760198045992</v>
      </c>
      <c r="CI17" s="139">
        <f>CF17*'W.F. End-use Level'!N18+'UCM Services Protected'!CG17*'W.F. End-use Level'!O18+'UCM Services Protected'!CH17*'W.F. End-use Level'!P18</f>
        <v>74.065444898721424</v>
      </c>
      <c r="CJ17" s="167">
        <f>B17/'Utilisation by Sector'!$K$33</f>
        <v>9.5326236263736259</v>
      </c>
      <c r="CK17" s="167">
        <f>C17/'Utilisation by Sector'!$L$33</f>
        <v>0.30827323717948718</v>
      </c>
      <c r="CL17" s="167">
        <f>D17/'Utilisation by Sector'!$M$33</f>
        <v>0.64952484035085167</v>
      </c>
      <c r="CM17" s="167">
        <f>E17/'Utilisation by Sector'!$N$33</f>
        <v>0.17693744164332398</v>
      </c>
      <c r="CN17" s="167">
        <f>F17/'Utilisation by Sector'!$O$33</f>
        <v>6.7517613105848406</v>
      </c>
      <c r="CO17" s="167">
        <f>G17/'Utilisation by Sector'!$P$33</f>
        <v>2.148514765017461</v>
      </c>
      <c r="CP17" s="167">
        <f>H17/'Utilisation by Sector'!$Q$33</f>
        <v>0.98920540438397586</v>
      </c>
      <c r="CQ17" s="139">
        <f t="shared" si="31"/>
        <v>94.132623626373615</v>
      </c>
      <c r="CR17" s="139">
        <f t="shared" si="32"/>
        <v>84.908273237179486</v>
      </c>
      <c r="CS17" s="139">
        <f t="shared" si="33"/>
        <v>85.249524840350844</v>
      </c>
      <c r="CT17" s="139">
        <f t="shared" si="34"/>
        <v>84.776937441643312</v>
      </c>
      <c r="CU17" s="139">
        <f t="shared" si="35"/>
        <v>91.351761310584834</v>
      </c>
      <c r="CV17" s="139">
        <f t="shared" si="36"/>
        <v>49.851371993266966</v>
      </c>
      <c r="CW17" s="139">
        <f t="shared" si="37"/>
        <v>12.089205404383973</v>
      </c>
      <c r="CX17" s="139">
        <f>CQ17*'W.F. at Appliance Level'!I17</f>
        <v>94.132623626373615</v>
      </c>
      <c r="CY17" s="139">
        <f>CR17*'W.F. at Appliance Level'!J17</f>
        <v>84.908273237179486</v>
      </c>
      <c r="CZ17" s="139">
        <f>CS17*'W.F. at Appliance Level'!K17+'UCM Services Protected'!CT17*'W.F. at Appliance Level'!L17+'UCM Services Protected'!CU17*'W.F. at Appliance Level'!M17+'UCM Services Protected'!CV17*'W.F. at Appliance Level'!N17+'UCM Services Protected'!CW17*'W.F. at Appliance Level'!O17</f>
        <v>64.663760198045992</v>
      </c>
      <c r="DA17" s="139">
        <f>CX17*'W.F. End-use Level'!Q18+'UCM Services Protected'!CY17*'W.F. End-use Level'!R18+'UCM Services Protected'!CZ17*'W.F. End-use Level'!S18</f>
        <v>71.444122452672715</v>
      </c>
      <c r="DB17" s="167">
        <f>C17/'Utilisation by Sector'!$L$39</f>
        <v>1.2947475961538462</v>
      </c>
      <c r="DC17" s="167">
        <f>D17/'Utilisation by Sector'!$M$39</f>
        <v>4.1722419156654711</v>
      </c>
      <c r="DD17" s="167">
        <f>E17/'Utilisation by Sector'!$N$39</f>
        <v>0.7431372549019607</v>
      </c>
      <c r="DE17" s="167">
        <f>F17/'Utilisation by Sector'!$O$39</f>
        <v>28.357397504456333</v>
      </c>
      <c r="DF17" s="167">
        <f>G17/'Utilisation by Sector'!$P$39</f>
        <v>9.0237620130733358</v>
      </c>
      <c r="DG17" s="167">
        <f>H17/'Utilisation by Sector'!$Q$39</f>
        <v>4.1546626984126984</v>
      </c>
      <c r="DH17" s="139">
        <f t="shared" si="38"/>
        <v>85.894747596153834</v>
      </c>
      <c r="DI17" s="139">
        <f t="shared" si="39"/>
        <v>88.772241915665461</v>
      </c>
      <c r="DJ17" s="139">
        <f t="shared" si="40"/>
        <v>85.343137254901961</v>
      </c>
      <c r="DK17" s="139">
        <f t="shared" si="41"/>
        <v>112.95739750445632</v>
      </c>
      <c r="DL17" s="139">
        <f t="shared" si="42"/>
        <v>56.726619241322844</v>
      </c>
      <c r="DM17" s="139">
        <f t="shared" si="43"/>
        <v>15.254662698412696</v>
      </c>
      <c r="DN17" s="139">
        <f>DH17*'W.F. at Appliance Level'!J17</f>
        <v>85.894747596153834</v>
      </c>
      <c r="DO17" s="139">
        <f>DI17*'W.F. at Appliance Level'!K17+'UCM Services Protected'!DJ17*'W.F. at Appliance Level'!L17+'UCM Services Protected'!DK17*'W.F. at Appliance Level'!M17+'UCM Services Protected'!DL17*'W.F. at Appliance Level'!N17+'UCM Services Protected'!DM17*'W.F. at Appliance Level'!O17</f>
        <v>71.810811722951854</v>
      </c>
      <c r="DP17" s="139">
        <f>DN17*'W.F. End-use Level'!T18+'UCM Services Protected'!DO17*'W.F. End-use Level'!U18</f>
        <v>75.115743961255973</v>
      </c>
      <c r="DQ17" s="134">
        <f>AG17*'W.F. at Subsector Level'!B17+'UCM Services Protected'!AY17*'W.F. at Subsector Level'!C17+'UCM Services Protected'!BQ17*'W.F. at Subsector Level'!D17+'UCM Services Protected'!CI17*'W.F. at Subsector Level'!E17+'UCM Services Protected'!DA17*'W.F. at Subsector Level'!F17+'UCM Services Protected'!DP17*'W.F. at Subsector Level'!G17</f>
        <v>74.047317663673965</v>
      </c>
    </row>
    <row r="18" spans="1:121" ht="15.75" customHeight="1" x14ac:dyDescent="0.3">
      <c r="A18" s="54" t="s">
        <v>16</v>
      </c>
      <c r="B18" s="166">
        <f>'Appliance Prices'!B18</f>
        <v>197203.43936423399</v>
      </c>
      <c r="C18" s="166">
        <f>'Appliance Prices'!C18</f>
        <v>87502.020202020183</v>
      </c>
      <c r="D18" s="166">
        <f>'Appliance Prices'!D18</f>
        <v>111175.37851478011</v>
      </c>
      <c r="E18" s="166">
        <f>'Appliance Prices'!E18</f>
        <v>30863.636363636364</v>
      </c>
      <c r="F18" s="166">
        <f>'Appliance Prices'!F18</f>
        <v>472469.84126984124</v>
      </c>
      <c r="G18" s="166">
        <f>'Appliance Prices'!G18</f>
        <v>36343.079494316153</v>
      </c>
      <c r="H18" s="166">
        <f>'Appliance Prices'!H18</f>
        <v>73784.126984126982</v>
      </c>
      <c r="I18" s="166">
        <f>'Fuel Prices excl. VAT'!B17</f>
        <v>3.5099999999999999E-2</v>
      </c>
      <c r="J18" s="166">
        <f>'Fuel Prices excl. VAT'!D17</f>
        <v>0.1196</v>
      </c>
      <c r="K18" s="166">
        <f>'Fuel Prices excl. VAT'!F17</f>
        <v>9.833789473684211E-2</v>
      </c>
      <c r="L18" s="166">
        <f>'Fuel Prices excl. VAT'!H17</f>
        <v>4.4999999999999998E-2</v>
      </c>
      <c r="M18" s="166">
        <f t="shared" si="0"/>
        <v>8.4499999999999992E-2</v>
      </c>
      <c r="N18" s="166">
        <f t="shared" si="1"/>
        <v>6.3237894736842104E-2</v>
      </c>
      <c r="O18" s="166">
        <f t="shared" si="2"/>
        <v>9.8999999999999991E-3</v>
      </c>
      <c r="P18" s="166">
        <f>B18/'Utilisation by Sector'!$K$9</f>
        <v>13.544192264027059</v>
      </c>
      <c r="Q18" s="166">
        <f>C18/'Utilisation by Sector'!$L$9</f>
        <v>1.0016256891256889</v>
      </c>
      <c r="R18" s="166">
        <f>D18/'Utilisation by Sector'!$M$9</f>
        <v>1.272611933548307</v>
      </c>
      <c r="S18" s="166">
        <f>E18/'Utilisation by Sector'!$N$9</f>
        <v>0.77189966895849249</v>
      </c>
      <c r="T18" s="166">
        <f>F18/'Utilisation by Sector'!$O$9</f>
        <v>5.5143538897040294</v>
      </c>
      <c r="U18" s="166">
        <f>G18/'Utilisation by Sector'!$P$9</f>
        <v>0.31812919725416799</v>
      </c>
      <c r="V18" s="166">
        <f>H18/'Utilisation by Sector'!$Q$9</f>
        <v>0.64586945889466896</v>
      </c>
      <c r="W18" s="138">
        <f t="shared" si="3"/>
        <v>98.044192264027046</v>
      </c>
      <c r="X18" s="138">
        <f t="shared" si="4"/>
        <v>85.501625689125675</v>
      </c>
      <c r="Y18" s="138">
        <f t="shared" si="5"/>
        <v>85.772611933548291</v>
      </c>
      <c r="Z18" s="138">
        <f t="shared" si="6"/>
        <v>85.271899668958483</v>
      </c>
      <c r="AA18" s="138">
        <f t="shared" si="7"/>
        <v>90.014353889704012</v>
      </c>
      <c r="AB18" s="138">
        <f t="shared" si="8"/>
        <v>63.556023934096267</v>
      </c>
      <c r="AC18" s="138">
        <f t="shared" si="9"/>
        <v>10.545869458894668</v>
      </c>
      <c r="AD18" s="138">
        <f>W18*'W.F. at Appliance Level'!I18</f>
        <v>98.044192264027046</v>
      </c>
      <c r="AE18" s="138">
        <f>X18*'W.F. at Appliance Level'!J18</f>
        <v>85.501625689125675</v>
      </c>
      <c r="AF18" s="138">
        <f>Y18*'W.F. at Appliance Level'!K18+'UCM Services Protected'!Z18*'W.F. at Appliance Level'!L18+'UCM Services Protected'!AA18*'W.F. at Appliance Level'!M18+'UCM Services Protected'!AB18*'W.F. at Appliance Level'!N18+'UCM Services Protected'!AC18*'W.F. at Appliance Level'!O18</f>
        <v>67.03215177704034</v>
      </c>
      <c r="AG18" s="138">
        <f>AD18*'W.F. End-use Level'!E19+'UCM Services Protected'!AE18*'W.F. End-use Level'!F19+'UCM Services Protected'!AF18*'W.F. End-use Level'!G19</f>
        <v>89.327301767671258</v>
      </c>
      <c r="AH18" s="166">
        <f>B18/'Utilisation by Sector'!$K$15</f>
        <v>34.597094625304209</v>
      </c>
      <c r="AI18" s="166">
        <f>C18/'Utilisation by Sector'!$L$15</f>
        <v>5.7567118553960643</v>
      </c>
      <c r="AJ18" s="166">
        <f>D18/'Utilisation by Sector'!$M$15</f>
        <v>8.1746601849103016</v>
      </c>
      <c r="AK18" s="166">
        <f>E18/'Utilisation by Sector'!$N$15</f>
        <v>3.2419786096256686</v>
      </c>
      <c r="AL18" s="166">
        <f>F18/'Utilisation by Sector'!$O$15</f>
        <v>23.160286336756922</v>
      </c>
      <c r="AM18" s="166">
        <f>G18/'Utilisation by Sector'!$P$15</f>
        <v>1.3361426284675055</v>
      </c>
      <c r="AN18" s="166">
        <f>H18/'Utilisation by Sector'!$Q$15</f>
        <v>2.7126517273576098</v>
      </c>
      <c r="AO18" s="138">
        <f t="shared" si="10"/>
        <v>119.09709462530419</v>
      </c>
      <c r="AP18" s="138">
        <f t="shared" si="11"/>
        <v>90.256711855396048</v>
      </c>
      <c r="AQ18" s="138">
        <f t="shared" si="12"/>
        <v>92.674660184910294</v>
      </c>
      <c r="AR18" s="138">
        <f t="shared" si="13"/>
        <v>87.741978609625647</v>
      </c>
      <c r="AS18" s="138">
        <f t="shared" si="14"/>
        <v>107.66028633675691</v>
      </c>
      <c r="AT18" s="138">
        <f t="shared" si="15"/>
        <v>64.574037365309607</v>
      </c>
      <c r="AU18" s="138">
        <f t="shared" si="16"/>
        <v>12.612651727357608</v>
      </c>
      <c r="AV18" s="138">
        <f>AO18*'W.F. at Appliance Level'!I18</f>
        <v>119.09709462530419</v>
      </c>
      <c r="AW18" s="138">
        <f>AP18*'W.F. at Appliance Level'!J18</f>
        <v>90.256711855396048</v>
      </c>
      <c r="AX18" s="138">
        <f>AQ18*'W.F. at Appliance Level'!K18+'UCM Services Protected'!AR18*'W.F. at Appliance Level'!L18+'UCM Services Protected'!AS18*'W.F. at Appliance Level'!M18+'UCM Services Protected'!AT18*'W.F. at Appliance Level'!N18+'UCM Services Protected'!AU18*'W.F. at Appliance Level'!O18</f>
        <v>73.052722844792015</v>
      </c>
      <c r="AY18" s="138">
        <f>AV18*'W.F. End-use Level'!H19+'UCM Services Protected'!AW18*'W.F. End-use Level'!I19+'UCM Services Protected'!AX18*'W.F. End-use Level'!J19</f>
        <v>99.842651076770863</v>
      </c>
      <c r="AZ18" s="166">
        <f>B18/'Utilisation by Sector'!$K$21</f>
        <v>54.176769056108235</v>
      </c>
      <c r="BA18" s="166">
        <f>C18/'Utilisation by Sector'!$L$21</f>
        <v>1.0016256891256889</v>
      </c>
      <c r="BB18" s="166">
        <f>D18/'Utilisation by Sector'!$M$21</f>
        <v>1.272611933548307</v>
      </c>
      <c r="BC18" s="166">
        <f>E18/'Utilisation by Sector'!$N$21</f>
        <v>0.77189966895849249</v>
      </c>
      <c r="BD18" s="166">
        <f>F18/'Utilisation by Sector'!$O$21</f>
        <v>5.5143538897040294</v>
      </c>
      <c r="BE18" s="166">
        <f>G18/'Utilisation by Sector'!$P$21</f>
        <v>0.31812919725416799</v>
      </c>
      <c r="BF18" s="166">
        <f>H18/'Utilisation by Sector'!$Q$21</f>
        <v>0.64586945889466896</v>
      </c>
      <c r="BG18" s="138">
        <f t="shared" si="17"/>
        <v>138.67676905610821</v>
      </c>
      <c r="BH18" s="138">
        <f t="shared" si="18"/>
        <v>85.501625689125675</v>
      </c>
      <c r="BI18" s="138">
        <f t="shared" si="19"/>
        <v>85.772611933548291</v>
      </c>
      <c r="BJ18" s="138">
        <f t="shared" si="20"/>
        <v>85.271899668958483</v>
      </c>
      <c r="BK18" s="138">
        <f t="shared" si="21"/>
        <v>90.014353889704012</v>
      </c>
      <c r="BL18" s="138">
        <f t="shared" si="22"/>
        <v>63.556023934096267</v>
      </c>
      <c r="BM18" s="138">
        <f t="shared" si="23"/>
        <v>10.545869458894668</v>
      </c>
      <c r="BN18" s="138">
        <f>BG18*'W.F. at Appliance Level'!I18</f>
        <v>138.67676905610821</v>
      </c>
      <c r="BO18" s="138">
        <f>BH18*'W.F. at Appliance Level'!J18</f>
        <v>85.501625689125675</v>
      </c>
      <c r="BP18" s="138">
        <f>BI18*'W.F. at Appliance Level'!K18+'UCM Services Protected'!BJ18*'W.F. at Appliance Level'!L18+'UCM Services Protected'!BK18*'W.F. at Appliance Level'!M18+'UCM Services Protected'!BL18*'W.F. at Appliance Level'!N18+'UCM Services Protected'!BM18*'W.F. at Appliance Level'!O18</f>
        <v>67.03215177704034</v>
      </c>
      <c r="BQ18" s="138">
        <f>BN18*'W.F. End-use Level'!K19+'UCM Services Protected'!BO18*'W.F. End-use Level'!L19+'UCM Services Protected'!BP18*'W.F. End-use Level'!M19</f>
        <v>103.58983614047619</v>
      </c>
      <c r="BR18" s="166">
        <f>B18/'Utilisation by Sector'!$K$27</f>
        <v>54.176769056108235</v>
      </c>
      <c r="BS18" s="166">
        <f>C18/'Utilisation by Sector'!$L$27</f>
        <v>1.0016256891256889</v>
      </c>
      <c r="BT18" s="166">
        <f>D18/'Utilisation by Sector'!$M$27</f>
        <v>1.272611933548307</v>
      </c>
      <c r="BU18" s="166">
        <f>E18/'Utilisation by Sector'!$N$27</f>
        <v>0.77189966895849249</v>
      </c>
      <c r="BV18" s="166">
        <f>F18/'Utilisation by Sector'!$O$27</f>
        <v>5.5143538897040294</v>
      </c>
      <c r="BW18" s="166">
        <f>G18/'Utilisation by Sector'!$P$27</f>
        <v>0.31812919725416799</v>
      </c>
      <c r="BX18" s="166">
        <f>H18/'Utilisation by Sector'!$Q$27</f>
        <v>0.64586945889466896</v>
      </c>
      <c r="BY18" s="138">
        <f t="shared" si="24"/>
        <v>138.67676905610821</v>
      </c>
      <c r="BZ18" s="138">
        <f t="shared" si="25"/>
        <v>85.501625689125675</v>
      </c>
      <c r="CA18" s="138">
        <f t="shared" si="26"/>
        <v>85.772611933548291</v>
      </c>
      <c r="CB18" s="138">
        <f t="shared" si="27"/>
        <v>85.271899668958483</v>
      </c>
      <c r="CC18" s="138">
        <f t="shared" si="28"/>
        <v>90.014353889704012</v>
      </c>
      <c r="CD18" s="138">
        <f t="shared" si="29"/>
        <v>63.556023934096267</v>
      </c>
      <c r="CE18" s="138">
        <f t="shared" si="30"/>
        <v>10.545869458894668</v>
      </c>
      <c r="CF18" s="138">
        <f>BY18*'W.F. at Appliance Level'!I18</f>
        <v>138.67676905610821</v>
      </c>
      <c r="CG18" s="138">
        <f>BZ18*'W.F. at Appliance Level'!J18</f>
        <v>85.501625689125675</v>
      </c>
      <c r="CH18" s="138">
        <f>CA18*'W.F. at Appliance Level'!K18+'UCM Services Protected'!CB18*'W.F. at Appliance Level'!L18+'UCM Services Protected'!CC18*'W.F. at Appliance Level'!M18+'UCM Services Protected'!CD18*'W.F. at Appliance Level'!N18+'UCM Services Protected'!CE18*'W.F. at Appliance Level'!O18</f>
        <v>67.03215177704034</v>
      </c>
      <c r="CI18" s="138">
        <f>CF18*'W.F. End-use Level'!N19+'UCM Services Protected'!CG18*'W.F. End-use Level'!O19+'UCM Services Protected'!CH18*'W.F. End-use Level'!P19</f>
        <v>103.58983614047619</v>
      </c>
      <c r="CJ18" s="166">
        <f>B18/'Utilisation by Sector'!$K$33</f>
        <v>13.544192264027059</v>
      </c>
      <c r="CK18" s="166">
        <f>C18/'Utilisation by Sector'!$L$33</f>
        <v>1.0016256891256889</v>
      </c>
      <c r="CL18" s="166">
        <f>D18/'Utilisation by Sector'!$M$33</f>
        <v>1.272611933548307</v>
      </c>
      <c r="CM18" s="166">
        <f>E18/'Utilisation by Sector'!$N$33</f>
        <v>0.77189966895849249</v>
      </c>
      <c r="CN18" s="166">
        <f>F18/'Utilisation by Sector'!$O$33</f>
        <v>5.5143538897040294</v>
      </c>
      <c r="CO18" s="166">
        <f>G18/'Utilisation by Sector'!$P$33</f>
        <v>0.31812919725416799</v>
      </c>
      <c r="CP18" s="166">
        <f>H18/'Utilisation by Sector'!$Q$33</f>
        <v>0.64586945889466896</v>
      </c>
      <c r="CQ18" s="138">
        <f t="shared" si="31"/>
        <v>98.044192264027046</v>
      </c>
      <c r="CR18" s="138">
        <f t="shared" si="32"/>
        <v>85.501625689125675</v>
      </c>
      <c r="CS18" s="138">
        <f t="shared" si="33"/>
        <v>85.772611933548291</v>
      </c>
      <c r="CT18" s="138">
        <f t="shared" si="34"/>
        <v>85.271899668958483</v>
      </c>
      <c r="CU18" s="138">
        <f t="shared" si="35"/>
        <v>90.014353889704012</v>
      </c>
      <c r="CV18" s="138">
        <f t="shared" si="36"/>
        <v>63.556023934096267</v>
      </c>
      <c r="CW18" s="138">
        <f t="shared" si="37"/>
        <v>10.545869458894668</v>
      </c>
      <c r="CX18" s="138">
        <f>CQ18*'W.F. at Appliance Level'!I18</f>
        <v>98.044192264027046</v>
      </c>
      <c r="CY18" s="138">
        <f>CR18*'W.F. at Appliance Level'!J18</f>
        <v>85.501625689125675</v>
      </c>
      <c r="CZ18" s="138">
        <f>CS18*'W.F. at Appliance Level'!K18+'UCM Services Protected'!CT18*'W.F. at Appliance Level'!L18+'UCM Services Protected'!CU18*'W.F. at Appliance Level'!M18+'UCM Services Protected'!CV18*'W.F. at Appliance Level'!N18+'UCM Services Protected'!CW18*'W.F. at Appliance Level'!O18</f>
        <v>67.03215177704034</v>
      </c>
      <c r="DA18" s="138">
        <f>CX18*'W.F. End-use Level'!Q19+'UCM Services Protected'!CY18*'W.F. End-use Level'!R19+'UCM Services Protected'!CZ18*'W.F. End-use Level'!S19</f>
        <v>89.327301767671258</v>
      </c>
      <c r="DB18" s="166">
        <f>C18/'Utilisation by Sector'!$L$39</f>
        <v>4.2068278943278932</v>
      </c>
      <c r="DC18" s="166">
        <f>D18/'Utilisation by Sector'!$M$39</f>
        <v>8.1746601849103016</v>
      </c>
      <c r="DD18" s="166">
        <f>E18/'Utilisation by Sector'!$N$39</f>
        <v>3.2419786096256686</v>
      </c>
      <c r="DE18" s="166">
        <f>F18/'Utilisation by Sector'!$O$39</f>
        <v>23.160286336756922</v>
      </c>
      <c r="DF18" s="166">
        <f>G18/'Utilisation by Sector'!$P$39</f>
        <v>1.3361426284675055</v>
      </c>
      <c r="DG18" s="166">
        <f>H18/'Utilisation by Sector'!$Q$39</f>
        <v>2.7126517273576098</v>
      </c>
      <c r="DH18" s="138">
        <f t="shared" si="38"/>
        <v>88.706827894327873</v>
      </c>
      <c r="DI18" s="138">
        <f t="shared" si="39"/>
        <v>92.674660184910294</v>
      </c>
      <c r="DJ18" s="138">
        <f t="shared" si="40"/>
        <v>87.741978609625647</v>
      </c>
      <c r="DK18" s="138">
        <f t="shared" si="41"/>
        <v>107.66028633675691</v>
      </c>
      <c r="DL18" s="138">
        <f t="shared" si="42"/>
        <v>64.574037365309607</v>
      </c>
      <c r="DM18" s="138">
        <f t="shared" si="43"/>
        <v>12.612651727357608</v>
      </c>
      <c r="DN18" s="138">
        <f>DH18*'W.F. at Appliance Level'!J18</f>
        <v>88.706827894327873</v>
      </c>
      <c r="DO18" s="138">
        <f>DI18*'W.F. at Appliance Level'!K18+'UCM Services Protected'!DJ18*'W.F. at Appliance Level'!L18+'UCM Services Protected'!DK18*'W.F. at Appliance Level'!M18+'UCM Services Protected'!DL18*'W.F. at Appliance Level'!N18+'UCM Services Protected'!DM18*'W.F. at Appliance Level'!O18</f>
        <v>73.052722844792015</v>
      </c>
      <c r="DP18" s="138">
        <f>DN18*'W.F. End-use Level'!T19+'UCM Services Protected'!DO18*'W.F. End-use Level'!U19</f>
        <v>87.95338181614359</v>
      </c>
      <c r="DQ18" s="133">
        <f>AG18*'W.F. at Subsector Level'!B18+'UCM Services Protected'!AY18*'W.F. at Subsector Level'!C18+'UCM Services Protected'!BQ18*'W.F. at Subsector Level'!D18+'UCM Services Protected'!CI18*'W.F. at Subsector Level'!E18+'UCM Services Protected'!DA18*'W.F. at Subsector Level'!F18+'UCM Services Protected'!DP18*'W.F. at Subsector Level'!G18</f>
        <v>95.605051451534919</v>
      </c>
    </row>
    <row r="19" spans="1:121" ht="15.75" customHeight="1" x14ac:dyDescent="0.3">
      <c r="A19" s="54" t="s">
        <v>17</v>
      </c>
      <c r="B19" s="167">
        <f>'Appliance Prices'!B19</f>
        <v>113088.77058929864</v>
      </c>
      <c r="C19" s="167">
        <f>'Appliance Prices'!C19</f>
        <v>42972.076923076922</v>
      </c>
      <c r="D19" s="167">
        <f>'Appliance Prices'!D19</f>
        <v>107295.04763551115</v>
      </c>
      <c r="E19" s="167">
        <f>'Appliance Prices'!E19</f>
        <v>18983.047739297741</v>
      </c>
      <c r="F19" s="167">
        <f>'Appliance Prices'!F19</f>
        <v>370713.14288668853</v>
      </c>
      <c r="G19" s="167">
        <f>'Appliance Prices'!G19</f>
        <v>13737.218052434455</v>
      </c>
      <c r="H19" s="167">
        <f>'Appliance Prices'!H19</f>
        <v>119968.25396825396</v>
      </c>
      <c r="I19" s="167">
        <f>'Fuel Prices excl. VAT'!B18</f>
        <v>4.53E-2</v>
      </c>
      <c r="J19" s="167">
        <f>'Fuel Prices excl. VAT'!D18</f>
        <v>0.13189999999999999</v>
      </c>
      <c r="K19" s="167">
        <f>'Fuel Prices excl. VAT'!F18</f>
        <v>9.833789473684211E-2</v>
      </c>
      <c r="L19" s="167">
        <f>'Fuel Prices excl. VAT'!H18</f>
        <v>4.4999999999999998E-2</v>
      </c>
      <c r="M19" s="167">
        <f t="shared" si="0"/>
        <v>8.6599999999999983E-2</v>
      </c>
      <c r="N19" s="167">
        <f t="shared" si="1"/>
        <v>5.303789473684211E-2</v>
      </c>
      <c r="O19" s="167">
        <f t="shared" si="2"/>
        <v>-3.0000000000000165E-4</v>
      </c>
      <c r="P19" s="167">
        <f>B19/'Utilisation by Sector'!$K$9</f>
        <v>7.7670858921221591</v>
      </c>
      <c r="Q19" s="167">
        <f>C19/'Utilisation by Sector'!$L$9</f>
        <v>0.49189648492533106</v>
      </c>
      <c r="R19" s="167">
        <f>D19/'Utilisation by Sector'!$M$9</f>
        <v>1.2281942265969683</v>
      </c>
      <c r="S19" s="167">
        <f>E19/'Utilisation by Sector'!$N$9</f>
        <v>0.47476609992241248</v>
      </c>
      <c r="T19" s="167">
        <f>F19/'Utilisation by Sector'!$O$9</f>
        <v>4.3267173539529473</v>
      </c>
      <c r="U19" s="167">
        <f>G19/'Utilisation by Sector'!$P$9</f>
        <v>0.12024875746178619</v>
      </c>
      <c r="V19" s="167">
        <f>H19/'Utilisation by Sector'!$Q$9</f>
        <v>1.0501422791338757</v>
      </c>
      <c r="W19" s="139">
        <f t="shared" si="3"/>
        <v>94.367085892122134</v>
      </c>
      <c r="X19" s="139">
        <f t="shared" si="4"/>
        <v>87.091896484925314</v>
      </c>
      <c r="Y19" s="139">
        <f t="shared" si="5"/>
        <v>87.828194226596949</v>
      </c>
      <c r="Z19" s="139">
        <f t="shared" si="6"/>
        <v>87.0747660999224</v>
      </c>
      <c r="AA19" s="139">
        <f t="shared" si="7"/>
        <v>90.926717353952924</v>
      </c>
      <c r="AB19" s="139">
        <f t="shared" si="8"/>
        <v>53.1581434943039</v>
      </c>
      <c r="AC19" s="139">
        <f t="shared" si="9"/>
        <v>0.7501422791338741</v>
      </c>
      <c r="AD19" s="139">
        <f>W19*'W.F. at Appliance Level'!I19</f>
        <v>94.367085892122134</v>
      </c>
      <c r="AE19" s="139">
        <f>X19*'W.F. at Appliance Level'!J19</f>
        <v>87.091896484925314</v>
      </c>
      <c r="AF19" s="139">
        <f>Y19*'W.F. at Appliance Level'!K19+'UCM Services Protected'!Z19*'W.F. at Appliance Level'!L19+'UCM Services Protected'!AA19*'W.F. at Appliance Level'!M19+'UCM Services Protected'!AB19*'W.F. at Appliance Level'!N19+'UCM Services Protected'!AC19*'W.F. at Appliance Level'!O19</f>
        <v>63.94759269078201</v>
      </c>
      <c r="AG19" s="139">
        <f>AD19*'W.F. End-use Level'!E20+'UCM Services Protected'!AE19*'W.F. End-use Level'!F20+'UCM Services Protected'!AF19*'W.F. End-use Level'!G20</f>
        <v>74.90523782710963</v>
      </c>
      <c r="AH19" s="167">
        <f>B19/'Utilisation by Sector'!$K$15</f>
        <v>19.840135191105023</v>
      </c>
      <c r="AI19" s="167">
        <f>C19/'Utilisation by Sector'!$L$15</f>
        <v>2.8271103238866395</v>
      </c>
      <c r="AJ19" s="167">
        <f>D19/'Utilisation by Sector'!$M$15</f>
        <v>7.8893417379052311</v>
      </c>
      <c r="AK19" s="167">
        <f>E19/'Utilisation by Sector'!$N$15</f>
        <v>1.9940176196741324</v>
      </c>
      <c r="AL19" s="167">
        <f>F19/'Utilisation by Sector'!$O$15</f>
        <v>18.172212886602377</v>
      </c>
      <c r="AM19" s="167">
        <f>G19/'Utilisation by Sector'!$P$15</f>
        <v>0.50504478133950204</v>
      </c>
      <c r="AN19" s="167">
        <f>H19/'Utilisation by Sector'!$Q$15</f>
        <v>4.4105975723622777</v>
      </c>
      <c r="AO19" s="139">
        <f t="shared" si="10"/>
        <v>106.440135191105</v>
      </c>
      <c r="AP19" s="139">
        <f t="shared" si="11"/>
        <v>89.427110323886623</v>
      </c>
      <c r="AQ19" s="139">
        <f t="shared" si="12"/>
        <v>94.489341737905207</v>
      </c>
      <c r="AR19" s="139">
        <f t="shared" si="13"/>
        <v>88.594017619674119</v>
      </c>
      <c r="AS19" s="139">
        <f t="shared" si="14"/>
        <v>104.77221288660236</v>
      </c>
      <c r="AT19" s="139">
        <f t="shared" si="15"/>
        <v>53.542939518181612</v>
      </c>
      <c r="AU19" s="139">
        <f t="shared" si="16"/>
        <v>4.1105975723622761</v>
      </c>
      <c r="AV19" s="139">
        <f>AO19*'W.F. at Appliance Level'!I19</f>
        <v>106.440135191105</v>
      </c>
      <c r="AW19" s="139">
        <f>AP19*'W.F. at Appliance Level'!J19</f>
        <v>89.427110323886623</v>
      </c>
      <c r="AX19" s="139">
        <f>AQ19*'W.F. at Appliance Level'!K19+'UCM Services Protected'!AR19*'W.F. at Appliance Level'!L19+'UCM Services Protected'!AS19*'W.F. at Appliance Level'!M19+'UCM Services Protected'!AT19*'W.F. at Appliance Level'!N19+'UCM Services Protected'!AU19*'W.F. at Appliance Level'!O19</f>
        <v>69.10182186694513</v>
      </c>
      <c r="AY19" s="139">
        <f>AV19*'W.F. End-use Level'!H20+'UCM Services Protected'!AW19*'W.F. End-use Level'!I20+'UCM Services Protected'!AX19*'W.F. End-use Level'!J20</f>
        <v>80.713407119467774</v>
      </c>
      <c r="AZ19" s="167">
        <f>B19/'Utilisation by Sector'!$K$21</f>
        <v>31.068343568488636</v>
      </c>
      <c r="BA19" s="167">
        <f>C19/'Utilisation by Sector'!$L$21</f>
        <v>0.49189648492533106</v>
      </c>
      <c r="BB19" s="167">
        <f>D19/'Utilisation by Sector'!$M$21</f>
        <v>1.2281942265969683</v>
      </c>
      <c r="BC19" s="167">
        <f>E19/'Utilisation by Sector'!$N$21</f>
        <v>0.47476609992241248</v>
      </c>
      <c r="BD19" s="167">
        <f>F19/'Utilisation by Sector'!$O$21</f>
        <v>4.3267173539529473</v>
      </c>
      <c r="BE19" s="167">
        <f>G19/'Utilisation by Sector'!$P$21</f>
        <v>0.12024875746178619</v>
      </c>
      <c r="BF19" s="167">
        <f>H19/'Utilisation by Sector'!$Q$21</f>
        <v>1.0501422791338757</v>
      </c>
      <c r="BG19" s="139">
        <f t="shared" si="17"/>
        <v>117.66834356848861</v>
      </c>
      <c r="BH19" s="139">
        <f t="shared" si="18"/>
        <v>87.091896484925314</v>
      </c>
      <c r="BI19" s="139">
        <f t="shared" si="19"/>
        <v>87.828194226596949</v>
      </c>
      <c r="BJ19" s="139">
        <f t="shared" si="20"/>
        <v>87.0747660999224</v>
      </c>
      <c r="BK19" s="139">
        <f t="shared" si="21"/>
        <v>90.926717353952924</v>
      </c>
      <c r="BL19" s="139">
        <f t="shared" si="22"/>
        <v>53.1581434943039</v>
      </c>
      <c r="BM19" s="139">
        <f t="shared" si="23"/>
        <v>0.7501422791338741</v>
      </c>
      <c r="BN19" s="139">
        <f>BG19*'W.F. at Appliance Level'!I19</f>
        <v>117.66834356848861</v>
      </c>
      <c r="BO19" s="139">
        <f>BH19*'W.F. at Appliance Level'!J19</f>
        <v>87.091896484925314</v>
      </c>
      <c r="BP19" s="139">
        <f>BI19*'W.F. at Appliance Level'!K19+'UCM Services Protected'!BJ19*'W.F. at Appliance Level'!L19+'UCM Services Protected'!BK19*'W.F. at Appliance Level'!M19+'UCM Services Protected'!BL19*'W.F. at Appliance Level'!N19+'UCM Services Protected'!BM19*'W.F. at Appliance Level'!O19</f>
        <v>63.94759269078201</v>
      </c>
      <c r="BQ19" s="139">
        <f>BN19*'W.F. End-use Level'!K20+'UCM Services Protected'!BO19*'W.F. End-use Level'!L20+'UCM Services Protected'!BP19*'W.F. End-use Level'!M20</f>
        <v>79.26678017469419</v>
      </c>
      <c r="BR19" s="167">
        <f>B19/'Utilisation by Sector'!$K$27</f>
        <v>31.068343568488636</v>
      </c>
      <c r="BS19" s="167">
        <f>C19/'Utilisation by Sector'!$L$27</f>
        <v>0.49189648492533106</v>
      </c>
      <c r="BT19" s="167">
        <f>D19/'Utilisation by Sector'!$M$27</f>
        <v>1.2281942265969683</v>
      </c>
      <c r="BU19" s="167">
        <f>E19/'Utilisation by Sector'!$N$27</f>
        <v>0.47476609992241248</v>
      </c>
      <c r="BV19" s="167">
        <f>F19/'Utilisation by Sector'!$O$27</f>
        <v>4.3267173539529473</v>
      </c>
      <c r="BW19" s="167">
        <f>G19/'Utilisation by Sector'!$P$27</f>
        <v>0.12024875746178619</v>
      </c>
      <c r="BX19" s="167">
        <f>H19/'Utilisation by Sector'!$Q$27</f>
        <v>1.0501422791338757</v>
      </c>
      <c r="BY19" s="139">
        <f t="shared" si="24"/>
        <v>117.66834356848861</v>
      </c>
      <c r="BZ19" s="139">
        <f t="shared" si="25"/>
        <v>87.091896484925314</v>
      </c>
      <c r="CA19" s="139">
        <f t="shared" si="26"/>
        <v>87.828194226596949</v>
      </c>
      <c r="CB19" s="139">
        <f t="shared" si="27"/>
        <v>87.0747660999224</v>
      </c>
      <c r="CC19" s="139">
        <f t="shared" si="28"/>
        <v>90.926717353952924</v>
      </c>
      <c r="CD19" s="139">
        <f t="shared" si="29"/>
        <v>53.1581434943039</v>
      </c>
      <c r="CE19" s="139">
        <f t="shared" si="30"/>
        <v>0.7501422791338741</v>
      </c>
      <c r="CF19" s="139">
        <f>BY19*'W.F. at Appliance Level'!I19</f>
        <v>117.66834356848861</v>
      </c>
      <c r="CG19" s="139">
        <f>BZ19*'W.F. at Appliance Level'!J19</f>
        <v>87.091896484925314</v>
      </c>
      <c r="CH19" s="139">
        <f>CA19*'W.F. at Appliance Level'!K19+'UCM Services Protected'!CB19*'W.F. at Appliance Level'!L19+'UCM Services Protected'!CC19*'W.F. at Appliance Level'!M19+'UCM Services Protected'!CD19*'W.F. at Appliance Level'!N19+'UCM Services Protected'!CE19*'W.F. at Appliance Level'!O19</f>
        <v>63.94759269078201</v>
      </c>
      <c r="CI19" s="139">
        <f>CF19*'W.F. End-use Level'!N20+'UCM Services Protected'!CG19*'W.F. End-use Level'!O20+'UCM Services Protected'!CH19*'W.F. End-use Level'!P20</f>
        <v>79.26678017469419</v>
      </c>
      <c r="CJ19" s="167">
        <f>B19/'Utilisation by Sector'!$K$33</f>
        <v>7.7670858921221591</v>
      </c>
      <c r="CK19" s="167">
        <f>C19/'Utilisation by Sector'!$L$33</f>
        <v>0.49189648492533106</v>
      </c>
      <c r="CL19" s="167">
        <f>D19/'Utilisation by Sector'!$M$33</f>
        <v>1.2281942265969683</v>
      </c>
      <c r="CM19" s="167">
        <f>E19/'Utilisation by Sector'!$N$33</f>
        <v>0.47476609992241248</v>
      </c>
      <c r="CN19" s="167">
        <f>F19/'Utilisation by Sector'!$O$33</f>
        <v>4.3267173539529473</v>
      </c>
      <c r="CO19" s="167">
        <f>G19/'Utilisation by Sector'!$P$33</f>
        <v>0.12024875746178619</v>
      </c>
      <c r="CP19" s="167">
        <f>H19/'Utilisation by Sector'!$Q$33</f>
        <v>1.0501422791338757</v>
      </c>
      <c r="CQ19" s="139">
        <f t="shared" si="31"/>
        <v>94.367085892122134</v>
      </c>
      <c r="CR19" s="139">
        <f t="shared" si="32"/>
        <v>87.091896484925314</v>
      </c>
      <c r="CS19" s="139">
        <f t="shared" si="33"/>
        <v>87.828194226596949</v>
      </c>
      <c r="CT19" s="139">
        <f t="shared" si="34"/>
        <v>87.0747660999224</v>
      </c>
      <c r="CU19" s="139">
        <f t="shared" si="35"/>
        <v>90.926717353952924</v>
      </c>
      <c r="CV19" s="139">
        <f t="shared" si="36"/>
        <v>53.1581434943039</v>
      </c>
      <c r="CW19" s="139">
        <f t="shared" si="37"/>
        <v>0.7501422791338741</v>
      </c>
      <c r="CX19" s="139">
        <f>CQ19*'W.F. at Appliance Level'!I19</f>
        <v>94.367085892122134</v>
      </c>
      <c r="CY19" s="139">
        <f>CR19*'W.F. at Appliance Level'!J19</f>
        <v>87.091896484925314</v>
      </c>
      <c r="CZ19" s="139">
        <f>CS19*'W.F. at Appliance Level'!K19+'UCM Services Protected'!CT19*'W.F. at Appliance Level'!L19+'UCM Services Protected'!CU19*'W.F. at Appliance Level'!M19+'UCM Services Protected'!CV19*'W.F. at Appliance Level'!N19+'UCM Services Protected'!CW19*'W.F. at Appliance Level'!O19</f>
        <v>63.94759269078201</v>
      </c>
      <c r="DA19" s="139">
        <f>CX19*'W.F. End-use Level'!Q20+'UCM Services Protected'!CY19*'W.F. End-use Level'!R20+'UCM Services Protected'!CZ19*'W.F. End-use Level'!S20</f>
        <v>74.90523782710963</v>
      </c>
      <c r="DB19" s="167">
        <f>C19/'Utilisation by Sector'!$L$39</f>
        <v>2.0659652366863903</v>
      </c>
      <c r="DC19" s="167">
        <f>D19/'Utilisation by Sector'!$M$39</f>
        <v>7.8893417379052311</v>
      </c>
      <c r="DD19" s="167">
        <f>E19/'Utilisation by Sector'!$N$39</f>
        <v>1.9940176196741324</v>
      </c>
      <c r="DE19" s="167">
        <f>F19/'Utilisation by Sector'!$O$39</f>
        <v>18.172212886602377</v>
      </c>
      <c r="DF19" s="167">
        <f>G19/'Utilisation by Sector'!$P$39</f>
        <v>0.50504478133950204</v>
      </c>
      <c r="DG19" s="167">
        <f>H19/'Utilisation by Sector'!$Q$39</f>
        <v>4.4105975723622777</v>
      </c>
      <c r="DH19" s="139">
        <f t="shared" si="38"/>
        <v>88.665965236686375</v>
      </c>
      <c r="DI19" s="139">
        <f t="shared" si="39"/>
        <v>94.489341737905207</v>
      </c>
      <c r="DJ19" s="139">
        <f t="shared" si="40"/>
        <v>88.594017619674119</v>
      </c>
      <c r="DK19" s="139">
        <f t="shared" si="41"/>
        <v>104.77221288660236</v>
      </c>
      <c r="DL19" s="139">
        <f t="shared" si="42"/>
        <v>53.542939518181612</v>
      </c>
      <c r="DM19" s="139">
        <f t="shared" si="43"/>
        <v>4.1105975723622761</v>
      </c>
      <c r="DN19" s="139">
        <f>DH19*'W.F. at Appliance Level'!J19</f>
        <v>88.665965236686375</v>
      </c>
      <c r="DO19" s="139">
        <f>DI19*'W.F. at Appliance Level'!K19+'UCM Services Protected'!DJ19*'W.F. at Appliance Level'!L19+'UCM Services Protected'!DK19*'W.F. at Appliance Level'!M19+'UCM Services Protected'!DL19*'W.F. at Appliance Level'!N19+'UCM Services Protected'!DM19*'W.F. at Appliance Level'!O19</f>
        <v>69.10182186694513</v>
      </c>
      <c r="DP19" s="139">
        <f>DN19*'W.F. End-use Level'!T20+'UCM Services Protected'!DO19*'W.F. End-use Level'!U20</f>
        <v>74.575942702090018</v>
      </c>
      <c r="DQ19" s="134">
        <f>AG19*'W.F. at Subsector Level'!B19+'UCM Services Protected'!AY19*'W.F. at Subsector Level'!C19+'UCM Services Protected'!BQ19*'W.F. at Subsector Level'!D19+'UCM Services Protected'!CI19*'W.F. at Subsector Level'!E19+'UCM Services Protected'!DA19*'W.F. at Subsector Level'!F19+'UCM Services Protected'!DP19*'W.F. at Subsector Level'!G19</f>
        <v>77.272230970860903</v>
      </c>
    </row>
    <row r="20" spans="1:121" ht="15.75" customHeight="1" x14ac:dyDescent="0.3">
      <c r="A20" s="54" t="s">
        <v>18</v>
      </c>
      <c r="B20" s="166">
        <f>'Appliance Prices'!B20</f>
        <v>78554.545454545456</v>
      </c>
      <c r="C20" s="166">
        <f>'Appliance Prices'!C20</f>
        <v>39769.333333333328</v>
      </c>
      <c r="D20" s="166">
        <f>'Appliance Prices'!D20</f>
        <v>57717.708224817063</v>
      </c>
      <c r="E20" s="166">
        <f>'Appliance Prices'!E20</f>
        <v>5838.333333333333</v>
      </c>
      <c r="F20" s="166">
        <f>'Appliance Prices'!F20</f>
        <v>403333.33333333331</v>
      </c>
      <c r="G20" s="166">
        <f>'Appliance Prices'!G20</f>
        <v>36343.079494316153</v>
      </c>
      <c r="H20" s="166">
        <f>'Appliance Prices'!H20</f>
        <v>75655.249006458034</v>
      </c>
      <c r="I20" s="166">
        <f>'Fuel Prices excl. VAT'!B19</f>
        <v>4.5400000000000003E-2</v>
      </c>
      <c r="J20" s="166">
        <f>'Fuel Prices excl. VAT'!D19</f>
        <v>0.1188</v>
      </c>
      <c r="K20" s="166">
        <f>'Fuel Prices excl. VAT'!F19</f>
        <v>7.4061710536618752E-2</v>
      </c>
      <c r="L20" s="166">
        <f>'Fuel Prices excl. VAT'!H19</f>
        <v>2.6666666666666668E-2</v>
      </c>
      <c r="M20" s="166">
        <f t="shared" si="0"/>
        <v>7.3399999999999993E-2</v>
      </c>
      <c r="N20" s="166">
        <f t="shared" si="1"/>
        <v>2.8661710536618749E-2</v>
      </c>
      <c r="O20" s="166">
        <f t="shared" si="2"/>
        <v>-1.8733333333333334E-2</v>
      </c>
      <c r="P20" s="166">
        <f>B20/'Utilisation by Sector'!$K$9</f>
        <v>5.3952297702297702</v>
      </c>
      <c r="Q20" s="166">
        <f>C20/'Utilisation by Sector'!$L$9</f>
        <v>0.45523504273504267</v>
      </c>
      <c r="R20" s="166">
        <f>D20/'Utilisation by Sector'!$M$9</f>
        <v>0.66068805202400482</v>
      </c>
      <c r="S20" s="166">
        <f>E20/'Utilisation by Sector'!$N$9</f>
        <v>0.14601674002934506</v>
      </c>
      <c r="T20" s="166">
        <f>F20/'Utilisation by Sector'!$O$9</f>
        <v>4.7074385309679423</v>
      </c>
      <c r="U20" s="166">
        <f>G20/'Utilisation by Sector'!$P$9</f>
        <v>0.31812919725416799</v>
      </c>
      <c r="V20" s="166">
        <f>H20/'Utilisation by Sector'!$Q$9</f>
        <v>0.66224832813776291</v>
      </c>
      <c r="W20" s="138">
        <f t="shared" si="3"/>
        <v>78.795229770229767</v>
      </c>
      <c r="X20" s="138">
        <f t="shared" si="4"/>
        <v>73.855235042735032</v>
      </c>
      <c r="Y20" s="138">
        <f t="shared" si="5"/>
        <v>74.060688052023991</v>
      </c>
      <c r="Z20" s="138">
        <f t="shared" si="6"/>
        <v>73.54601674002933</v>
      </c>
      <c r="AA20" s="138">
        <f t="shared" si="7"/>
        <v>78.10743853096794</v>
      </c>
      <c r="AB20" s="138">
        <f t="shared" si="8"/>
        <v>28.979839733872918</v>
      </c>
      <c r="AC20" s="138">
        <f t="shared" si="9"/>
        <v>-18.07108500519557</v>
      </c>
      <c r="AD20" s="138">
        <f>W20*'W.F. at Appliance Level'!I20</f>
        <v>78.795229770229767</v>
      </c>
      <c r="AE20" s="138">
        <f>X20*'W.F. at Appliance Level'!J20</f>
        <v>73.855235042735032</v>
      </c>
      <c r="AF20" s="138">
        <f>Y20*'W.F. at Appliance Level'!K20+'UCM Services Protected'!Z20*'W.F. at Appliance Level'!L20+'UCM Services Protected'!AA20*'W.F. at Appliance Level'!M20+'UCM Services Protected'!AB20*'W.F. at Appliance Level'!N20+'UCM Services Protected'!AC20*'W.F. at Appliance Level'!O20</f>
        <v>47.324579610339718</v>
      </c>
      <c r="AG20" s="138">
        <f>AD20*'W.F. End-use Level'!E21+'UCM Services Protected'!AE20*'W.F. End-use Level'!F21+'UCM Services Protected'!AF20*'W.F. End-use Level'!G21</f>
        <v>55.555065743293028</v>
      </c>
      <c r="AH20" s="166">
        <f>B20/'Utilisation by Sector'!$K$15</f>
        <v>13.781499202551835</v>
      </c>
      <c r="AI20" s="166">
        <f>C20/'Utilisation by Sector'!$L$15</f>
        <v>2.6164035087719295</v>
      </c>
      <c r="AJ20" s="166">
        <f>D20/'Utilisation by Sector'!$M$15</f>
        <v>4.2439491341777256</v>
      </c>
      <c r="AK20" s="166">
        <f>E20/'Utilisation by Sector'!$N$15</f>
        <v>0.61327030812324923</v>
      </c>
      <c r="AL20" s="166">
        <f>F20/'Utilisation by Sector'!$O$15</f>
        <v>19.77124183006536</v>
      </c>
      <c r="AM20" s="166">
        <f>G20/'Utilisation by Sector'!$P$15</f>
        <v>1.3361426284675055</v>
      </c>
      <c r="AN20" s="166">
        <f>H20/'Utilisation by Sector'!$Q$15</f>
        <v>2.7814429781786041</v>
      </c>
      <c r="AO20" s="138">
        <f t="shared" si="10"/>
        <v>87.181499202551834</v>
      </c>
      <c r="AP20" s="138">
        <f t="shared" si="11"/>
        <v>76.016403508771916</v>
      </c>
      <c r="AQ20" s="138">
        <f t="shared" si="12"/>
        <v>77.643949134177717</v>
      </c>
      <c r="AR20" s="138">
        <f t="shared" si="13"/>
        <v>74.013270308123239</v>
      </c>
      <c r="AS20" s="138">
        <f t="shared" si="14"/>
        <v>93.171241830065355</v>
      </c>
      <c r="AT20" s="138">
        <f t="shared" si="15"/>
        <v>29.997853165086255</v>
      </c>
      <c r="AU20" s="138">
        <f t="shared" si="16"/>
        <v>-15.951890355154731</v>
      </c>
      <c r="AV20" s="138">
        <f>AO20*'W.F. at Appliance Level'!I20</f>
        <v>87.181499202551834</v>
      </c>
      <c r="AW20" s="138">
        <f>AP20*'W.F. at Appliance Level'!J20</f>
        <v>76.016403508771916</v>
      </c>
      <c r="AX20" s="138">
        <f>AQ20*'W.F. at Appliance Level'!K20+'UCM Services Protected'!AR20*'W.F. at Appliance Level'!L20+'UCM Services Protected'!AS20*'W.F. at Appliance Level'!M20+'UCM Services Protected'!AT20*'W.F. at Appliance Level'!N20+'UCM Services Protected'!AU20*'W.F. at Appliance Level'!O20</f>
        <v>51.774884816459569</v>
      </c>
      <c r="AY20" s="138">
        <f>AV20*'W.F. End-use Level'!H21+'UCM Services Protected'!AW20*'W.F. End-use Level'!I21+'UCM Services Protected'!AX20*'W.F. End-use Level'!J21</f>
        <v>59.904893567270356</v>
      </c>
      <c r="AZ20" s="166">
        <f>B20/'Utilisation by Sector'!$K$21</f>
        <v>21.580919080919081</v>
      </c>
      <c r="BA20" s="166">
        <f>C20/'Utilisation by Sector'!$L$21</f>
        <v>0.45523504273504267</v>
      </c>
      <c r="BB20" s="166">
        <f>D20/'Utilisation by Sector'!$M$21</f>
        <v>0.66068805202400482</v>
      </c>
      <c r="BC20" s="166">
        <f>E20/'Utilisation by Sector'!$N$21</f>
        <v>0.14601674002934506</v>
      </c>
      <c r="BD20" s="166">
        <f>F20/'Utilisation by Sector'!$O$21</f>
        <v>4.7074385309679423</v>
      </c>
      <c r="BE20" s="166">
        <f>G20/'Utilisation by Sector'!$P$21</f>
        <v>0.31812919725416799</v>
      </c>
      <c r="BF20" s="166">
        <f>H20/'Utilisation by Sector'!$Q$21</f>
        <v>0.66224832813776291</v>
      </c>
      <c r="BG20" s="138">
        <f t="shared" si="17"/>
        <v>94.98091908091908</v>
      </c>
      <c r="BH20" s="138">
        <f t="shared" si="18"/>
        <v>73.855235042735032</v>
      </c>
      <c r="BI20" s="138">
        <f t="shared" si="19"/>
        <v>74.060688052023991</v>
      </c>
      <c r="BJ20" s="138">
        <f t="shared" si="20"/>
        <v>73.54601674002933</v>
      </c>
      <c r="BK20" s="138">
        <f t="shared" si="21"/>
        <v>78.10743853096794</v>
      </c>
      <c r="BL20" s="138">
        <f t="shared" si="22"/>
        <v>28.979839733872918</v>
      </c>
      <c r="BM20" s="138">
        <f t="shared" si="23"/>
        <v>-18.07108500519557</v>
      </c>
      <c r="BN20" s="138">
        <f>BG20*'W.F. at Appliance Level'!I20</f>
        <v>94.98091908091908</v>
      </c>
      <c r="BO20" s="138">
        <f>BH20*'W.F. at Appliance Level'!J20</f>
        <v>73.855235042735032</v>
      </c>
      <c r="BP20" s="138">
        <f>BI20*'W.F. at Appliance Level'!K20+'UCM Services Protected'!BJ20*'W.F. at Appliance Level'!L20+'UCM Services Protected'!BK20*'W.F. at Appliance Level'!M20+'UCM Services Protected'!BL20*'W.F. at Appliance Level'!N20+'UCM Services Protected'!BM20*'W.F. at Appliance Level'!O20</f>
        <v>47.324579610339718</v>
      </c>
      <c r="BQ20" s="138">
        <f>BN20*'W.F. End-use Level'!K21+'UCM Services Protected'!BO20*'W.F. End-use Level'!L21+'UCM Services Protected'!BP20*'W.F. End-use Level'!M21</f>
        <v>57.038669570802334</v>
      </c>
      <c r="BR20" s="166">
        <f>B20/'Utilisation by Sector'!$K$27</f>
        <v>21.580919080919081</v>
      </c>
      <c r="BS20" s="166">
        <f>C20/'Utilisation by Sector'!$L$27</f>
        <v>0.45523504273504267</v>
      </c>
      <c r="BT20" s="166">
        <f>D20/'Utilisation by Sector'!$M$27</f>
        <v>0.66068805202400482</v>
      </c>
      <c r="BU20" s="166">
        <f>E20/'Utilisation by Sector'!$N$27</f>
        <v>0.14601674002934506</v>
      </c>
      <c r="BV20" s="166">
        <f>F20/'Utilisation by Sector'!$O$27</f>
        <v>4.7074385309679423</v>
      </c>
      <c r="BW20" s="166">
        <f>G20/'Utilisation by Sector'!$P$27</f>
        <v>0.31812919725416799</v>
      </c>
      <c r="BX20" s="166">
        <f>H20/'Utilisation by Sector'!$Q$27</f>
        <v>0.66224832813776291</v>
      </c>
      <c r="BY20" s="138">
        <f t="shared" si="24"/>
        <v>94.98091908091908</v>
      </c>
      <c r="BZ20" s="138">
        <f t="shared" si="25"/>
        <v>73.855235042735032</v>
      </c>
      <c r="CA20" s="138">
        <f t="shared" si="26"/>
        <v>74.060688052023991</v>
      </c>
      <c r="CB20" s="138">
        <f t="shared" si="27"/>
        <v>73.54601674002933</v>
      </c>
      <c r="CC20" s="138">
        <f t="shared" si="28"/>
        <v>78.10743853096794</v>
      </c>
      <c r="CD20" s="138">
        <f t="shared" si="29"/>
        <v>28.979839733872918</v>
      </c>
      <c r="CE20" s="138">
        <f t="shared" si="30"/>
        <v>-18.07108500519557</v>
      </c>
      <c r="CF20" s="138">
        <f>BY20*'W.F. at Appliance Level'!I20</f>
        <v>94.98091908091908</v>
      </c>
      <c r="CG20" s="138">
        <f>BZ20*'W.F. at Appliance Level'!J20</f>
        <v>73.855235042735032</v>
      </c>
      <c r="CH20" s="138">
        <f>CA20*'W.F. at Appliance Level'!K20+'UCM Services Protected'!CB20*'W.F. at Appliance Level'!L20+'UCM Services Protected'!CC20*'W.F. at Appliance Level'!M20+'UCM Services Protected'!CD20*'W.F. at Appliance Level'!N20+'UCM Services Protected'!CE20*'W.F. at Appliance Level'!O20</f>
        <v>47.324579610339718</v>
      </c>
      <c r="CI20" s="138">
        <f>CF20*'W.F. End-use Level'!N21+'UCM Services Protected'!CG20*'W.F. End-use Level'!O21+'UCM Services Protected'!CH20*'W.F. End-use Level'!P21</f>
        <v>57.038669570802334</v>
      </c>
      <c r="CJ20" s="166">
        <f>B20/'Utilisation by Sector'!$K$33</f>
        <v>5.3952297702297702</v>
      </c>
      <c r="CK20" s="166">
        <f>C20/'Utilisation by Sector'!$L$33</f>
        <v>0.45523504273504267</v>
      </c>
      <c r="CL20" s="166">
        <f>D20/'Utilisation by Sector'!$M$33</f>
        <v>0.66068805202400482</v>
      </c>
      <c r="CM20" s="166">
        <f>E20/'Utilisation by Sector'!$N$33</f>
        <v>0.14601674002934506</v>
      </c>
      <c r="CN20" s="166">
        <f>F20/'Utilisation by Sector'!$O$33</f>
        <v>4.7074385309679423</v>
      </c>
      <c r="CO20" s="166">
        <f>G20/'Utilisation by Sector'!$P$33</f>
        <v>0.31812919725416799</v>
      </c>
      <c r="CP20" s="166">
        <f>H20/'Utilisation by Sector'!$Q$33</f>
        <v>0.66224832813776291</v>
      </c>
      <c r="CQ20" s="138">
        <f t="shared" si="31"/>
        <v>78.795229770229767</v>
      </c>
      <c r="CR20" s="138">
        <f t="shared" si="32"/>
        <v>73.855235042735032</v>
      </c>
      <c r="CS20" s="138">
        <f t="shared" si="33"/>
        <v>74.060688052023991</v>
      </c>
      <c r="CT20" s="138">
        <f t="shared" si="34"/>
        <v>73.54601674002933</v>
      </c>
      <c r="CU20" s="138">
        <f t="shared" si="35"/>
        <v>78.10743853096794</v>
      </c>
      <c r="CV20" s="138">
        <f t="shared" si="36"/>
        <v>28.979839733872918</v>
      </c>
      <c r="CW20" s="138">
        <f t="shared" si="37"/>
        <v>-18.07108500519557</v>
      </c>
      <c r="CX20" s="138">
        <f>CQ20*'W.F. at Appliance Level'!I20</f>
        <v>78.795229770229767</v>
      </c>
      <c r="CY20" s="138">
        <f>CR20*'W.F. at Appliance Level'!J20</f>
        <v>73.855235042735032</v>
      </c>
      <c r="CZ20" s="138">
        <f>CS20*'W.F. at Appliance Level'!K20+'UCM Services Protected'!CT20*'W.F. at Appliance Level'!L20+'UCM Services Protected'!CU20*'W.F. at Appliance Level'!M20+'UCM Services Protected'!CV20*'W.F. at Appliance Level'!N20+'UCM Services Protected'!CW20*'W.F. at Appliance Level'!O20</f>
        <v>47.324579610339718</v>
      </c>
      <c r="DA20" s="138">
        <f>CX20*'W.F. End-use Level'!Q21+'UCM Services Protected'!CY20*'W.F. End-use Level'!R21+'UCM Services Protected'!CZ20*'W.F. End-use Level'!S21</f>
        <v>55.555065743293028</v>
      </c>
      <c r="DB20" s="166">
        <f>C20/'Utilisation by Sector'!$L$39</f>
        <v>1.9119871794871792</v>
      </c>
      <c r="DC20" s="166">
        <f>D20/'Utilisation by Sector'!$M$39</f>
        <v>4.2439491341777256</v>
      </c>
      <c r="DD20" s="166">
        <f>E20/'Utilisation by Sector'!$N$39</f>
        <v>0.61327030812324923</v>
      </c>
      <c r="DE20" s="166">
        <f>F20/'Utilisation by Sector'!$O$39</f>
        <v>19.77124183006536</v>
      </c>
      <c r="DF20" s="166">
        <f>G20/'Utilisation by Sector'!$P$39</f>
        <v>1.3361426284675055</v>
      </c>
      <c r="DG20" s="166">
        <f>H20/'Utilisation by Sector'!$Q$39</f>
        <v>2.7814429781786041</v>
      </c>
      <c r="DH20" s="138">
        <f t="shared" si="38"/>
        <v>75.311987179487176</v>
      </c>
      <c r="DI20" s="138">
        <f t="shared" si="39"/>
        <v>77.643949134177717</v>
      </c>
      <c r="DJ20" s="138">
        <f t="shared" si="40"/>
        <v>74.013270308123239</v>
      </c>
      <c r="DK20" s="138">
        <f t="shared" si="41"/>
        <v>93.171241830065355</v>
      </c>
      <c r="DL20" s="138">
        <f t="shared" si="42"/>
        <v>29.997853165086255</v>
      </c>
      <c r="DM20" s="138">
        <f t="shared" si="43"/>
        <v>-15.951890355154731</v>
      </c>
      <c r="DN20" s="138">
        <f>DH20*'W.F. at Appliance Level'!J20</f>
        <v>75.311987179487176</v>
      </c>
      <c r="DO20" s="138">
        <f>DI20*'W.F. at Appliance Level'!K20+'UCM Services Protected'!DJ20*'W.F. at Appliance Level'!L20+'UCM Services Protected'!DK20*'W.F. at Appliance Level'!M20+'UCM Services Protected'!DL20*'W.F. at Appliance Level'!N20+'UCM Services Protected'!DM20*'W.F. at Appliance Level'!O20</f>
        <v>51.774884816459569</v>
      </c>
      <c r="DP20" s="138">
        <f>DN20*'W.F. End-use Level'!T21+'UCM Services Protected'!DO20*'W.F. End-use Level'!U21</f>
        <v>57.29809431529327</v>
      </c>
      <c r="DQ20" s="133">
        <f>AG20*'W.F. at Subsector Level'!B20+'UCM Services Protected'!AY20*'W.F. at Subsector Level'!C20+'UCM Services Protected'!BQ20*'W.F. at Subsector Level'!D20+'UCM Services Protected'!CI20*'W.F. at Subsector Level'!E20+'UCM Services Protected'!DA20*'W.F. at Subsector Level'!F20+'UCM Services Protected'!DP20*'W.F. at Subsector Level'!G20</f>
        <v>57.065076418459064</v>
      </c>
    </row>
    <row r="21" spans="1:121" ht="15.75" customHeight="1" x14ac:dyDescent="0.3">
      <c r="A21" s="54" t="s">
        <v>19</v>
      </c>
      <c r="B21" s="167">
        <f>'Appliance Prices'!B21</f>
        <v>132298.49462365592</v>
      </c>
      <c r="C21" s="167">
        <f>'Appliance Prices'!C21</f>
        <v>32280.714285714283</v>
      </c>
      <c r="D21" s="167">
        <f>'Appliance Prices'!D21</f>
        <v>97999.587515482024</v>
      </c>
      <c r="E21" s="167">
        <f>'Appliance Prices'!E21</f>
        <v>23486.259259259259</v>
      </c>
      <c r="F21" s="167">
        <f>'Appliance Prices'!F21</f>
        <v>123972.92396582458</v>
      </c>
      <c r="G21" s="167">
        <f>'Appliance Prices'!G21</f>
        <v>22436.915634674922</v>
      </c>
      <c r="H21" s="167">
        <f>'Appliance Prices'!H21</f>
        <v>131818.75</v>
      </c>
      <c r="I21" s="167">
        <f>'Fuel Prices excl. VAT'!B20</f>
        <v>5.1400000000000001E-2</v>
      </c>
      <c r="J21" s="167">
        <f>'Fuel Prices excl. VAT'!D20</f>
        <v>0.25609999999999999</v>
      </c>
      <c r="K21" s="167">
        <f>'Fuel Prices excl. VAT'!F20</f>
        <v>7.2631578947368422E-2</v>
      </c>
      <c r="L21" s="167">
        <f>'Fuel Prices excl. VAT'!H20</f>
        <v>4.4124999999999998E-2</v>
      </c>
      <c r="M21" s="167">
        <f t="shared" si="0"/>
        <v>0.20469999999999999</v>
      </c>
      <c r="N21" s="167">
        <f t="shared" si="1"/>
        <v>2.1231578947368421E-2</v>
      </c>
      <c r="O21" s="167">
        <f t="shared" si="2"/>
        <v>-7.2750000000000037E-3</v>
      </c>
      <c r="P21" s="167">
        <f>B21/'Utilisation by Sector'!$K$9</f>
        <v>9.0864350703060381</v>
      </c>
      <c r="Q21" s="167">
        <f>C21/'Utilisation by Sector'!$L$9</f>
        <v>0.36951367085295656</v>
      </c>
      <c r="R21" s="167">
        <f>D21/'Utilisation by Sector'!$M$9</f>
        <v>1.1217901501314334</v>
      </c>
      <c r="S21" s="167">
        <f>E21/'Utilisation by Sector'!$N$9</f>
        <v>0.58739143805670413</v>
      </c>
      <c r="T21" s="167">
        <f>F21/'Utilisation by Sector'!$O$9</f>
        <v>1.4469295514218554</v>
      </c>
      <c r="U21" s="167">
        <f>G21/'Utilisation by Sector'!$P$9</f>
        <v>0.19640157243237852</v>
      </c>
      <c r="V21" s="167">
        <f>H21/'Utilisation by Sector'!$Q$9</f>
        <v>1.153875612745098</v>
      </c>
      <c r="W21" s="139">
        <f t="shared" si="3"/>
        <v>213.78643507030603</v>
      </c>
      <c r="X21" s="139">
        <f t="shared" si="4"/>
        <v>205.06951367085296</v>
      </c>
      <c r="Y21" s="139">
        <f t="shared" si="5"/>
        <v>205.82179015013142</v>
      </c>
      <c r="Z21" s="139">
        <f t="shared" si="6"/>
        <v>205.28739143805669</v>
      </c>
      <c r="AA21" s="139">
        <f t="shared" si="7"/>
        <v>206.14692955142183</v>
      </c>
      <c r="AB21" s="139">
        <f t="shared" si="8"/>
        <v>21.427980519800798</v>
      </c>
      <c r="AC21" s="139">
        <f t="shared" si="9"/>
        <v>-6.1211243872549055</v>
      </c>
      <c r="AD21" s="139">
        <f>W21*'W.F. at Appliance Level'!I21</f>
        <v>213.78643507030603</v>
      </c>
      <c r="AE21" s="139">
        <f>X21*'W.F. at Appliance Level'!J21</f>
        <v>205.06951367085296</v>
      </c>
      <c r="AF21" s="139">
        <f>Y21*'W.F. at Appliance Level'!K21+'UCM Services Protected'!Z21*'W.F. at Appliance Level'!L21+'UCM Services Protected'!AA21*'W.F. at Appliance Level'!M21+'UCM Services Protected'!AB21*'W.F. at Appliance Level'!N21+'UCM Services Protected'!AC21*'W.F. at Appliance Level'!O21</f>
        <v>126.51259345443117</v>
      </c>
      <c r="AG21" s="139">
        <f>AD21*'W.F. End-use Level'!E22+'UCM Services Protected'!AE21*'W.F. End-use Level'!F22+'UCM Services Protected'!AF21*'W.F. End-use Level'!G22</f>
        <v>139.30385484693994</v>
      </c>
      <c r="AH21" s="167">
        <f>B21/'Utilisation by Sector'!$K$15</f>
        <v>23.210262214676476</v>
      </c>
      <c r="AI21" s="167">
        <f>C21/'Utilisation by Sector'!$L$15</f>
        <v>2.1237312030075186</v>
      </c>
      <c r="AJ21" s="167">
        <f>D21/'Utilisation by Sector'!$M$15</f>
        <v>7.2058520231972079</v>
      </c>
      <c r="AK21" s="167">
        <f>E21/'Utilisation by Sector'!$N$15</f>
        <v>2.4670440398381577</v>
      </c>
      <c r="AL21" s="167">
        <f>F21/'Utilisation by Sector'!$O$15</f>
        <v>6.0771041159717933</v>
      </c>
      <c r="AM21" s="167">
        <f>G21/'Utilisation by Sector'!$P$15</f>
        <v>0.8248866042159898</v>
      </c>
      <c r="AN21" s="167">
        <f>H21/'Utilisation by Sector'!$Q$15</f>
        <v>4.8462775735294121</v>
      </c>
      <c r="AO21" s="139">
        <f t="shared" si="10"/>
        <v>227.91026221467646</v>
      </c>
      <c r="AP21" s="139">
        <f t="shared" si="11"/>
        <v>206.8237312030075</v>
      </c>
      <c r="AQ21" s="139">
        <f t="shared" si="12"/>
        <v>211.90585202319718</v>
      </c>
      <c r="AR21" s="139">
        <f t="shared" si="13"/>
        <v>207.16704403983815</v>
      </c>
      <c r="AS21" s="139">
        <f t="shared" si="14"/>
        <v>210.77710411597178</v>
      </c>
      <c r="AT21" s="139">
        <f t="shared" si="15"/>
        <v>22.056465551584409</v>
      </c>
      <c r="AU21" s="139">
        <f t="shared" si="16"/>
        <v>-2.4287224264705918</v>
      </c>
      <c r="AV21" s="139">
        <f>AO21*'W.F. at Appliance Level'!I21</f>
        <v>227.91026221467646</v>
      </c>
      <c r="AW21" s="139">
        <f>AP21*'W.F. at Appliance Level'!J21</f>
        <v>206.8237312030075</v>
      </c>
      <c r="AX21" s="139">
        <f>AQ21*'W.F. at Appliance Level'!K21+'UCM Services Protected'!AR21*'W.F. at Appliance Level'!L21+'UCM Services Protected'!AS21*'W.F. at Appliance Level'!M21+'UCM Services Protected'!AT21*'W.F. at Appliance Level'!N21+'UCM Services Protected'!AU21*'W.F. at Appliance Level'!O21</f>
        <v>129.8955486608242</v>
      </c>
      <c r="AY21" s="139">
        <f>AV21*'W.F. End-use Level'!H22+'UCM Services Protected'!AW21*'W.F. End-use Level'!I22+'UCM Services Protected'!AX21*'W.F. End-use Level'!J22</f>
        <v>143.12566445024785</v>
      </c>
      <c r="AZ21" s="167">
        <f>B21/'Utilisation by Sector'!$K$21</f>
        <v>36.345740281224153</v>
      </c>
      <c r="BA21" s="167">
        <f>C21/'Utilisation by Sector'!$L$21</f>
        <v>0.36951367085295656</v>
      </c>
      <c r="BB21" s="167">
        <f>D21/'Utilisation by Sector'!$M$21</f>
        <v>1.1217901501314334</v>
      </c>
      <c r="BC21" s="167">
        <f>E21/'Utilisation by Sector'!$N$21</f>
        <v>0.58739143805670413</v>
      </c>
      <c r="BD21" s="167">
        <f>F21/'Utilisation by Sector'!$O$21</f>
        <v>1.4469295514218554</v>
      </c>
      <c r="BE21" s="167">
        <f>G21/'Utilisation by Sector'!$P$21</f>
        <v>0.19640157243237852</v>
      </c>
      <c r="BF21" s="167">
        <f>H21/'Utilisation by Sector'!$Q$21</f>
        <v>1.153875612745098</v>
      </c>
      <c r="BG21" s="139">
        <f t="shared" si="17"/>
        <v>241.04574028122414</v>
      </c>
      <c r="BH21" s="139">
        <f t="shared" si="18"/>
        <v>205.06951367085296</v>
      </c>
      <c r="BI21" s="139">
        <f t="shared" si="19"/>
        <v>205.82179015013142</v>
      </c>
      <c r="BJ21" s="139">
        <f t="shared" si="20"/>
        <v>205.28739143805669</v>
      </c>
      <c r="BK21" s="139">
        <f t="shared" si="21"/>
        <v>206.14692955142183</v>
      </c>
      <c r="BL21" s="139">
        <f t="shared" si="22"/>
        <v>21.427980519800798</v>
      </c>
      <c r="BM21" s="139">
        <f t="shared" si="23"/>
        <v>-6.1211243872549055</v>
      </c>
      <c r="BN21" s="139">
        <f>BG21*'W.F. at Appliance Level'!I21</f>
        <v>241.04574028122414</v>
      </c>
      <c r="BO21" s="139">
        <f>BH21*'W.F. at Appliance Level'!J21</f>
        <v>205.06951367085296</v>
      </c>
      <c r="BP21" s="139">
        <f>BI21*'W.F. at Appliance Level'!K21+'UCM Services Protected'!BJ21*'W.F. at Appliance Level'!L21+'UCM Services Protected'!BK21*'W.F. at Appliance Level'!M21+'UCM Services Protected'!BL21*'W.F. at Appliance Level'!N21+'UCM Services Protected'!BM21*'W.F. at Appliance Level'!O21</f>
        <v>126.51259345443117</v>
      </c>
      <c r="BQ21" s="139">
        <f>BN21*'W.F. End-use Level'!K22+'UCM Services Protected'!BO21*'W.F. End-use Level'!L22+'UCM Services Protected'!BP21*'W.F. End-use Level'!M22</f>
        <v>140.83306788368387</v>
      </c>
      <c r="BR21" s="167">
        <f>B21/'Utilisation by Sector'!$K$27</f>
        <v>36.345740281224153</v>
      </c>
      <c r="BS21" s="167">
        <f>C21/'Utilisation by Sector'!$L$27</f>
        <v>0.36951367085295656</v>
      </c>
      <c r="BT21" s="167">
        <f>D21/'Utilisation by Sector'!$M$27</f>
        <v>1.1217901501314334</v>
      </c>
      <c r="BU21" s="167">
        <f>E21/'Utilisation by Sector'!$N$27</f>
        <v>0.58739143805670413</v>
      </c>
      <c r="BV21" s="167">
        <f>F21/'Utilisation by Sector'!$O$27</f>
        <v>1.4469295514218554</v>
      </c>
      <c r="BW21" s="167">
        <f>G21/'Utilisation by Sector'!$P$27</f>
        <v>0.19640157243237852</v>
      </c>
      <c r="BX21" s="167">
        <f>H21/'Utilisation by Sector'!$Q$27</f>
        <v>1.153875612745098</v>
      </c>
      <c r="BY21" s="139">
        <f t="shared" si="24"/>
        <v>241.04574028122414</v>
      </c>
      <c r="BZ21" s="139">
        <f t="shared" si="25"/>
        <v>205.06951367085296</v>
      </c>
      <c r="CA21" s="139">
        <f t="shared" si="26"/>
        <v>205.82179015013142</v>
      </c>
      <c r="CB21" s="139">
        <f t="shared" si="27"/>
        <v>205.28739143805669</v>
      </c>
      <c r="CC21" s="139">
        <f t="shared" si="28"/>
        <v>206.14692955142183</v>
      </c>
      <c r="CD21" s="139">
        <f t="shared" si="29"/>
        <v>21.427980519800798</v>
      </c>
      <c r="CE21" s="139">
        <f t="shared" si="30"/>
        <v>-6.1211243872549055</v>
      </c>
      <c r="CF21" s="139">
        <f>BY21*'W.F. at Appliance Level'!I21</f>
        <v>241.04574028122414</v>
      </c>
      <c r="CG21" s="139">
        <f>BZ21*'W.F. at Appliance Level'!J21</f>
        <v>205.06951367085296</v>
      </c>
      <c r="CH21" s="139">
        <f>CA21*'W.F. at Appliance Level'!K21+'UCM Services Protected'!CB21*'W.F. at Appliance Level'!L21+'UCM Services Protected'!CC21*'W.F. at Appliance Level'!M21+'UCM Services Protected'!CD21*'W.F. at Appliance Level'!N21+'UCM Services Protected'!CE21*'W.F. at Appliance Level'!O21</f>
        <v>126.51259345443117</v>
      </c>
      <c r="CI21" s="139">
        <f>CF21*'W.F. End-use Level'!N22+'UCM Services Protected'!CG21*'W.F. End-use Level'!O22+'UCM Services Protected'!CH21*'W.F. End-use Level'!P22</f>
        <v>140.83306788368387</v>
      </c>
      <c r="CJ21" s="167">
        <f>B21/'Utilisation by Sector'!$K$33</f>
        <v>9.0864350703060381</v>
      </c>
      <c r="CK21" s="167">
        <f>C21/'Utilisation by Sector'!$L$33</f>
        <v>0.36951367085295656</v>
      </c>
      <c r="CL21" s="167">
        <f>D21/'Utilisation by Sector'!$M$33</f>
        <v>1.1217901501314334</v>
      </c>
      <c r="CM21" s="167">
        <f>E21/'Utilisation by Sector'!$N$33</f>
        <v>0.58739143805670413</v>
      </c>
      <c r="CN21" s="167">
        <f>F21/'Utilisation by Sector'!$O$33</f>
        <v>1.4469295514218554</v>
      </c>
      <c r="CO21" s="167">
        <f>G21/'Utilisation by Sector'!$P$33</f>
        <v>0.19640157243237852</v>
      </c>
      <c r="CP21" s="167">
        <f>H21/'Utilisation by Sector'!$Q$33</f>
        <v>1.153875612745098</v>
      </c>
      <c r="CQ21" s="139">
        <f t="shared" si="31"/>
        <v>213.78643507030603</v>
      </c>
      <c r="CR21" s="139">
        <f t="shared" si="32"/>
        <v>205.06951367085296</v>
      </c>
      <c r="CS21" s="139">
        <f t="shared" si="33"/>
        <v>205.82179015013142</v>
      </c>
      <c r="CT21" s="139">
        <f t="shared" si="34"/>
        <v>205.28739143805669</v>
      </c>
      <c r="CU21" s="139">
        <f t="shared" si="35"/>
        <v>206.14692955142183</v>
      </c>
      <c r="CV21" s="139">
        <f t="shared" si="36"/>
        <v>21.427980519800798</v>
      </c>
      <c r="CW21" s="139">
        <f t="shared" si="37"/>
        <v>-6.1211243872549055</v>
      </c>
      <c r="CX21" s="139">
        <f>CQ21*'W.F. at Appliance Level'!I21</f>
        <v>213.78643507030603</v>
      </c>
      <c r="CY21" s="139">
        <f>CR21*'W.F. at Appliance Level'!J21</f>
        <v>205.06951367085296</v>
      </c>
      <c r="CZ21" s="139">
        <f>CS21*'W.F. at Appliance Level'!K21+'UCM Services Protected'!CT21*'W.F. at Appliance Level'!L21+'UCM Services Protected'!CU21*'W.F. at Appliance Level'!M21+'UCM Services Protected'!CV21*'W.F. at Appliance Level'!N21+'UCM Services Protected'!CW21*'W.F. at Appliance Level'!O21</f>
        <v>126.51259345443117</v>
      </c>
      <c r="DA21" s="139">
        <f>CX21*'W.F. End-use Level'!Q22+'UCM Services Protected'!CY21*'W.F. End-use Level'!R22+'UCM Services Protected'!CZ21*'W.F. End-use Level'!S22</f>
        <v>139.30385484693994</v>
      </c>
      <c r="DB21" s="167">
        <f>C21/'Utilisation by Sector'!$L$39</f>
        <v>1.5519574175824173</v>
      </c>
      <c r="DC21" s="167">
        <f>D21/'Utilisation by Sector'!$M$39</f>
        <v>7.2058520231972079</v>
      </c>
      <c r="DD21" s="167">
        <f>E21/'Utilisation by Sector'!$N$39</f>
        <v>2.4670440398381577</v>
      </c>
      <c r="DE21" s="167">
        <f>F21/'Utilisation by Sector'!$O$39</f>
        <v>6.0771041159717933</v>
      </c>
      <c r="DF21" s="167">
        <f>G21/'Utilisation by Sector'!$P$39</f>
        <v>0.8248866042159898</v>
      </c>
      <c r="DG21" s="167">
        <f>H21/'Utilisation by Sector'!$Q$39</f>
        <v>4.8462775735294121</v>
      </c>
      <c r="DH21" s="139">
        <f t="shared" si="38"/>
        <v>206.25195741758242</v>
      </c>
      <c r="DI21" s="139">
        <f t="shared" si="39"/>
        <v>211.90585202319718</v>
      </c>
      <c r="DJ21" s="139">
        <f t="shared" si="40"/>
        <v>207.16704403983815</v>
      </c>
      <c r="DK21" s="139">
        <f t="shared" si="41"/>
        <v>210.77710411597178</v>
      </c>
      <c r="DL21" s="139">
        <f t="shared" si="42"/>
        <v>22.056465551584409</v>
      </c>
      <c r="DM21" s="139">
        <f t="shared" si="43"/>
        <v>-2.4287224264705918</v>
      </c>
      <c r="DN21" s="139">
        <f>DH21*'W.F. at Appliance Level'!J21</f>
        <v>206.25195741758242</v>
      </c>
      <c r="DO21" s="139">
        <f>DI21*'W.F. at Appliance Level'!K21+'UCM Services Protected'!DJ21*'W.F. at Appliance Level'!L21+'UCM Services Protected'!DK21*'W.F. at Appliance Level'!M21+'UCM Services Protected'!DL21*'W.F. at Appliance Level'!N21+'UCM Services Protected'!DM21*'W.F. at Appliance Level'!O21</f>
        <v>129.8955486608242</v>
      </c>
      <c r="DP21" s="139">
        <f>DN21*'W.F. End-use Level'!T22+'UCM Services Protected'!DO21*'W.F. End-use Level'!U22</f>
        <v>138.02579201595773</v>
      </c>
      <c r="DQ21" s="134">
        <f>AG21*'W.F. at Subsector Level'!B21+'UCM Services Protected'!AY21*'W.F. at Subsector Level'!C21+'UCM Services Protected'!BQ21*'W.F. at Subsector Level'!D21+'UCM Services Protected'!CI21*'W.F. at Subsector Level'!E21+'UCM Services Protected'!DA21*'W.F. at Subsector Level'!F21+'UCM Services Protected'!DP21*'W.F. at Subsector Level'!G21</f>
        <v>140.23755032124222</v>
      </c>
    </row>
    <row r="22" spans="1:121" ht="15.75" customHeight="1" x14ac:dyDescent="0.3">
      <c r="A22" s="54" t="s">
        <v>20</v>
      </c>
      <c r="B22" s="166">
        <f>'Appliance Prices'!B22</f>
        <v>125290.32258064517</v>
      </c>
      <c r="C22" s="166">
        <f>'Appliance Prices'!C22</f>
        <v>20345.203484902733</v>
      </c>
      <c r="D22" s="166">
        <f>'Appliance Prices'!D22</f>
        <v>139807.94225902919</v>
      </c>
      <c r="E22" s="166">
        <f>'Appliance Prices'!E22</f>
        <v>25192.603603603602</v>
      </c>
      <c r="F22" s="166">
        <f>'Appliance Prices'!F22</f>
        <v>352299.12280701753</v>
      </c>
      <c r="G22" s="166">
        <f>'Appliance Prices'!G22</f>
        <v>35580.153936545241</v>
      </c>
      <c r="H22" s="166">
        <f>'Appliance Prices'!H22</f>
        <v>105171.75608498839</v>
      </c>
      <c r="I22" s="166">
        <f>'Fuel Prices excl. VAT'!B21</f>
        <v>5.62E-2</v>
      </c>
      <c r="J22" s="166">
        <f>'Fuel Prices excl. VAT'!D21</f>
        <v>0.16250000000000001</v>
      </c>
      <c r="K22" s="166">
        <f>'Fuel Prices excl. VAT'!F21</f>
        <v>8.1987368421052628E-2</v>
      </c>
      <c r="L22" s="166">
        <f>'Fuel Prices excl. VAT'!H21</f>
        <v>4.2187500000000003E-2</v>
      </c>
      <c r="M22" s="166">
        <f t="shared" si="0"/>
        <v>0.10630000000000001</v>
      </c>
      <c r="N22" s="166">
        <f t="shared" si="1"/>
        <v>2.5787368421052628E-2</v>
      </c>
      <c r="O22" s="166">
        <f t="shared" si="2"/>
        <v>-1.4012499999999997E-2</v>
      </c>
      <c r="P22" s="166">
        <f>B22/'Utilisation by Sector'!$K$9</f>
        <v>8.6051045728465088</v>
      </c>
      <c r="Q22" s="166">
        <f>C22/'Utilisation by Sector'!$L$9</f>
        <v>0.23288923403048001</v>
      </c>
      <c r="R22" s="166">
        <f>D22/'Utilisation by Sector'!$M$9</f>
        <v>1.6003656394119643</v>
      </c>
      <c r="S22" s="166">
        <f>E22/'Utilisation by Sector'!$N$9</f>
        <v>0.63006711693686479</v>
      </c>
      <c r="T22" s="166">
        <f>F22/'Utilisation by Sector'!$O$9</f>
        <v>4.1118011532098215</v>
      </c>
      <c r="U22" s="166">
        <f>G22/'Utilisation by Sector'!$P$9</f>
        <v>0.31145092731569712</v>
      </c>
      <c r="V22" s="166">
        <f>H22/'Utilisation by Sector'!$Q$9</f>
        <v>0.92062111418932413</v>
      </c>
      <c r="W22" s="138">
        <f t="shared" si="3"/>
        <v>114.90510457284653</v>
      </c>
      <c r="X22" s="138">
        <f t="shared" si="4"/>
        <v>106.53288923403049</v>
      </c>
      <c r="Y22" s="138">
        <f t="shared" si="5"/>
        <v>107.90036563941197</v>
      </c>
      <c r="Z22" s="138">
        <f t="shared" si="6"/>
        <v>106.93006711693688</v>
      </c>
      <c r="AA22" s="138">
        <f t="shared" si="7"/>
        <v>110.41180115320984</v>
      </c>
      <c r="AB22" s="138">
        <f t="shared" si="8"/>
        <v>26.098819348368327</v>
      </c>
      <c r="AC22" s="138">
        <f t="shared" si="9"/>
        <v>-13.091878885810674</v>
      </c>
      <c r="AD22" s="138">
        <f>W22*'W.F. at Appliance Level'!I22</f>
        <v>114.90510457284653</v>
      </c>
      <c r="AE22" s="138">
        <f>X22*'W.F. at Appliance Level'!J22</f>
        <v>106.53288923403049</v>
      </c>
      <c r="AF22" s="138">
        <f>Y22*'W.F. at Appliance Level'!K22+'UCM Services Protected'!Z22*'W.F. at Appliance Level'!L22+'UCM Services Protected'!AA22*'W.F. at Appliance Level'!M22+'UCM Services Protected'!AB22*'W.F. at Appliance Level'!N22+'UCM Services Protected'!AC22*'W.F. at Appliance Level'!O22</f>
        <v>67.649834874423277</v>
      </c>
      <c r="AG22" s="138">
        <f>AD22*'W.F. End-use Level'!E23+'UCM Services Protected'!AE22*'W.F. End-use Level'!F23+'UCM Services Protected'!AF22*'W.F. End-use Level'!G23</f>
        <v>73.586288849540921</v>
      </c>
      <c r="AH22" s="166">
        <f>B22/'Utilisation by Sector'!$K$15</f>
        <v>21.980758347481608</v>
      </c>
      <c r="AI22" s="166">
        <f>C22/'Utilisation by Sector'!$L$15</f>
        <v>1.3385002292699166</v>
      </c>
      <c r="AJ22" s="166">
        <f>D22/'Utilisation by Sector'!$M$15</f>
        <v>10.279995754340382</v>
      </c>
      <c r="AK22" s="166">
        <f>E22/'Utilisation by Sector'!$N$15</f>
        <v>2.6462818911348323</v>
      </c>
      <c r="AL22" s="166">
        <f>F22/'Utilisation by Sector'!$O$15</f>
        <v>17.269564843481252</v>
      </c>
      <c r="AM22" s="166">
        <f>G22/'Utilisation by Sector'!$P$15</f>
        <v>1.308093894725928</v>
      </c>
      <c r="AN22" s="166">
        <f>H22/'Utilisation by Sector'!$Q$15</f>
        <v>3.8666086795951613</v>
      </c>
      <c r="AO22" s="138">
        <f t="shared" si="10"/>
        <v>128.28075834748162</v>
      </c>
      <c r="AP22" s="138">
        <f t="shared" si="11"/>
        <v>107.63850022926992</v>
      </c>
      <c r="AQ22" s="138">
        <f t="shared" si="12"/>
        <v>116.57999575434039</v>
      </c>
      <c r="AR22" s="138">
        <f t="shared" si="13"/>
        <v>108.94628189113484</v>
      </c>
      <c r="AS22" s="138">
        <f t="shared" si="14"/>
        <v>123.56956484348126</v>
      </c>
      <c r="AT22" s="138">
        <f t="shared" si="15"/>
        <v>27.095462315778558</v>
      </c>
      <c r="AU22" s="138">
        <f t="shared" si="16"/>
        <v>-10.145891320404836</v>
      </c>
      <c r="AV22" s="138">
        <f>AO22*'W.F. at Appliance Level'!I22</f>
        <v>128.28075834748162</v>
      </c>
      <c r="AW22" s="138">
        <f>AP22*'W.F. at Appliance Level'!J22</f>
        <v>107.63850022926992</v>
      </c>
      <c r="AX22" s="138">
        <f>AQ22*'W.F. at Appliance Level'!K22+'UCM Services Protected'!AR22*'W.F. at Appliance Level'!L22+'UCM Services Protected'!AS22*'W.F. at Appliance Level'!M22+'UCM Services Protected'!AT22*'W.F. at Appliance Level'!N22+'UCM Services Protected'!AU22*'W.F. at Appliance Level'!O22</f>
        <v>73.209082696866034</v>
      </c>
      <c r="AY22" s="138">
        <f>AV22*'W.F. End-use Level'!H23+'UCM Services Protected'!AW22*'W.F. End-use Level'!I23+'UCM Services Protected'!AX22*'W.F. End-use Level'!J23</f>
        <v>78.569470533363074</v>
      </c>
      <c r="AZ22" s="166">
        <f>B22/'Utilisation by Sector'!$K$21</f>
        <v>34.420418291386035</v>
      </c>
      <c r="BA22" s="166">
        <f>C22/'Utilisation by Sector'!$L$21</f>
        <v>0.23288923403048001</v>
      </c>
      <c r="BB22" s="166">
        <f>D22/'Utilisation by Sector'!$M$21</f>
        <v>1.6003656394119643</v>
      </c>
      <c r="BC22" s="166">
        <f>E22/'Utilisation by Sector'!$N$21</f>
        <v>0.63006711693686479</v>
      </c>
      <c r="BD22" s="166">
        <f>F22/'Utilisation by Sector'!$O$21</f>
        <v>4.1118011532098215</v>
      </c>
      <c r="BE22" s="166">
        <f>G22/'Utilisation by Sector'!$P$21</f>
        <v>0.31145092731569712</v>
      </c>
      <c r="BF22" s="166">
        <f>H22/'Utilisation by Sector'!$Q$21</f>
        <v>0.92062111418932413</v>
      </c>
      <c r="BG22" s="138">
        <f t="shared" si="17"/>
        <v>140.72041829138604</v>
      </c>
      <c r="BH22" s="138">
        <f t="shared" si="18"/>
        <v>106.53288923403049</v>
      </c>
      <c r="BI22" s="138">
        <f t="shared" si="19"/>
        <v>107.90036563941197</v>
      </c>
      <c r="BJ22" s="138">
        <f t="shared" si="20"/>
        <v>106.93006711693688</v>
      </c>
      <c r="BK22" s="138">
        <f t="shared" si="21"/>
        <v>110.41180115320984</v>
      </c>
      <c r="BL22" s="138">
        <f t="shared" si="22"/>
        <v>26.098819348368327</v>
      </c>
      <c r="BM22" s="138">
        <f t="shared" si="23"/>
        <v>-13.091878885810674</v>
      </c>
      <c r="BN22" s="138">
        <f>BG22*'W.F. at Appliance Level'!I22</f>
        <v>140.72041829138604</v>
      </c>
      <c r="BO22" s="138">
        <f>BH22*'W.F. at Appliance Level'!J22</f>
        <v>106.53288923403049</v>
      </c>
      <c r="BP22" s="138">
        <f>BI22*'W.F. at Appliance Level'!K22+'UCM Services Protected'!BJ22*'W.F. at Appliance Level'!L22+'UCM Services Protected'!BK22*'W.F. at Appliance Level'!M22+'UCM Services Protected'!BL22*'W.F. at Appliance Level'!N22+'UCM Services Protected'!BM22*'W.F. at Appliance Level'!O22</f>
        <v>67.649834874423277</v>
      </c>
      <c r="BQ22" s="138">
        <f>BN22*'W.F. End-use Level'!K23+'UCM Services Protected'!BO22*'W.F. End-use Level'!L23+'UCM Services Protected'!BP22*'W.F. End-use Level'!M23</f>
        <v>73.78902378877136</v>
      </c>
      <c r="BR22" s="166">
        <f>B22/'Utilisation by Sector'!$K$27</f>
        <v>34.420418291386035</v>
      </c>
      <c r="BS22" s="166">
        <f>C22/'Utilisation by Sector'!$L$27</f>
        <v>0.23288923403048001</v>
      </c>
      <c r="BT22" s="166">
        <f>D22/'Utilisation by Sector'!$M$27</f>
        <v>1.6003656394119643</v>
      </c>
      <c r="BU22" s="166">
        <f>E22/'Utilisation by Sector'!$N$27</f>
        <v>0.63006711693686479</v>
      </c>
      <c r="BV22" s="166">
        <f>F22/'Utilisation by Sector'!$O$27</f>
        <v>4.1118011532098215</v>
      </c>
      <c r="BW22" s="166">
        <f>G22/'Utilisation by Sector'!$P$27</f>
        <v>0.31145092731569712</v>
      </c>
      <c r="BX22" s="166">
        <f>H22/'Utilisation by Sector'!$Q$27</f>
        <v>0.92062111418932413</v>
      </c>
      <c r="BY22" s="138">
        <f t="shared" si="24"/>
        <v>140.72041829138604</v>
      </c>
      <c r="BZ22" s="138">
        <f t="shared" si="25"/>
        <v>106.53288923403049</v>
      </c>
      <c r="CA22" s="138">
        <f t="shared" si="26"/>
        <v>107.90036563941197</v>
      </c>
      <c r="CB22" s="138">
        <f t="shared" si="27"/>
        <v>106.93006711693688</v>
      </c>
      <c r="CC22" s="138">
        <f t="shared" si="28"/>
        <v>110.41180115320984</v>
      </c>
      <c r="CD22" s="138">
        <f t="shared" si="29"/>
        <v>26.098819348368327</v>
      </c>
      <c r="CE22" s="138">
        <f t="shared" si="30"/>
        <v>-13.091878885810674</v>
      </c>
      <c r="CF22" s="138">
        <f>BY22*'W.F. at Appliance Level'!I22</f>
        <v>140.72041829138604</v>
      </c>
      <c r="CG22" s="138">
        <f>BZ22*'W.F. at Appliance Level'!J22</f>
        <v>106.53288923403049</v>
      </c>
      <c r="CH22" s="138">
        <f>CA22*'W.F. at Appliance Level'!K22+'UCM Services Protected'!CB22*'W.F. at Appliance Level'!L22+'UCM Services Protected'!CC22*'W.F. at Appliance Level'!M22+'UCM Services Protected'!CD22*'W.F. at Appliance Level'!N22+'UCM Services Protected'!CE22*'W.F. at Appliance Level'!O22</f>
        <v>67.649834874423277</v>
      </c>
      <c r="CI22" s="138">
        <f>CF22*'W.F. End-use Level'!N23+'UCM Services Protected'!CG22*'W.F. End-use Level'!O23+'UCM Services Protected'!CH22*'W.F. End-use Level'!P23</f>
        <v>73.78902378877136</v>
      </c>
      <c r="CJ22" s="166">
        <f>B22/'Utilisation by Sector'!$K$33</f>
        <v>8.6051045728465088</v>
      </c>
      <c r="CK22" s="166">
        <f>C22/'Utilisation by Sector'!$L$33</f>
        <v>0.23288923403048001</v>
      </c>
      <c r="CL22" s="166">
        <f>D22/'Utilisation by Sector'!$M$33</f>
        <v>1.6003656394119643</v>
      </c>
      <c r="CM22" s="166">
        <f>E22/'Utilisation by Sector'!$N$33</f>
        <v>0.63006711693686479</v>
      </c>
      <c r="CN22" s="166">
        <f>F22/'Utilisation by Sector'!$O$33</f>
        <v>4.1118011532098215</v>
      </c>
      <c r="CO22" s="166">
        <f>G22/'Utilisation by Sector'!$P$33</f>
        <v>0.31145092731569712</v>
      </c>
      <c r="CP22" s="166">
        <f>H22/'Utilisation by Sector'!$Q$33</f>
        <v>0.92062111418932413</v>
      </c>
      <c r="CQ22" s="138">
        <f t="shared" si="31"/>
        <v>114.90510457284653</v>
      </c>
      <c r="CR22" s="138">
        <f t="shared" si="32"/>
        <v>106.53288923403049</v>
      </c>
      <c r="CS22" s="138">
        <f t="shared" si="33"/>
        <v>107.90036563941197</v>
      </c>
      <c r="CT22" s="138">
        <f t="shared" si="34"/>
        <v>106.93006711693688</v>
      </c>
      <c r="CU22" s="138">
        <f t="shared" si="35"/>
        <v>110.41180115320984</v>
      </c>
      <c r="CV22" s="138">
        <f t="shared" si="36"/>
        <v>26.098819348368327</v>
      </c>
      <c r="CW22" s="138">
        <f t="shared" si="37"/>
        <v>-13.091878885810674</v>
      </c>
      <c r="CX22" s="138">
        <f>CQ22*'W.F. at Appliance Level'!I22</f>
        <v>114.90510457284653</v>
      </c>
      <c r="CY22" s="138">
        <f>CR22*'W.F. at Appliance Level'!J22</f>
        <v>106.53288923403049</v>
      </c>
      <c r="CZ22" s="138">
        <f>CS22*'W.F. at Appliance Level'!K22+'UCM Services Protected'!CT22*'W.F. at Appliance Level'!L22+'UCM Services Protected'!CU22*'W.F. at Appliance Level'!M22+'UCM Services Protected'!CV22*'W.F. at Appliance Level'!N22+'UCM Services Protected'!CW22*'W.F. at Appliance Level'!O22</f>
        <v>67.649834874423277</v>
      </c>
      <c r="DA22" s="138">
        <f>CX22*'W.F. End-use Level'!Q23+'UCM Services Protected'!CY22*'W.F. End-use Level'!R23+'UCM Services Protected'!CZ22*'W.F. End-use Level'!S23</f>
        <v>73.586288849540921</v>
      </c>
      <c r="DB22" s="166">
        <f>C22/'Utilisation by Sector'!$L$39</f>
        <v>0.97813478292801603</v>
      </c>
      <c r="DC22" s="166">
        <f>D22/'Utilisation by Sector'!$M$39</f>
        <v>10.279995754340382</v>
      </c>
      <c r="DD22" s="166">
        <f>E22/'Utilisation by Sector'!$N$39</f>
        <v>2.6462818911348323</v>
      </c>
      <c r="DE22" s="166">
        <f>F22/'Utilisation by Sector'!$O$39</f>
        <v>17.269564843481252</v>
      </c>
      <c r="DF22" s="166">
        <f>G22/'Utilisation by Sector'!$P$39</f>
        <v>1.308093894725928</v>
      </c>
      <c r="DG22" s="166">
        <f>H22/'Utilisation by Sector'!$Q$39</f>
        <v>3.8666086795951613</v>
      </c>
      <c r="DH22" s="138">
        <f t="shared" si="38"/>
        <v>107.27813478292802</v>
      </c>
      <c r="DI22" s="138">
        <f t="shared" si="39"/>
        <v>116.57999575434039</v>
      </c>
      <c r="DJ22" s="138">
        <f t="shared" si="40"/>
        <v>108.94628189113484</v>
      </c>
      <c r="DK22" s="138">
        <f t="shared" si="41"/>
        <v>123.56956484348126</v>
      </c>
      <c r="DL22" s="138">
        <f t="shared" si="42"/>
        <v>27.095462315778558</v>
      </c>
      <c r="DM22" s="138">
        <f t="shared" si="43"/>
        <v>-10.145891320404836</v>
      </c>
      <c r="DN22" s="138">
        <f>DH22*'W.F. at Appliance Level'!J22</f>
        <v>107.27813478292802</v>
      </c>
      <c r="DO22" s="138">
        <f>DI22*'W.F. at Appliance Level'!K22+'UCM Services Protected'!DJ22*'W.F. at Appliance Level'!L22+'UCM Services Protected'!DK22*'W.F. at Appliance Level'!M22+'UCM Services Protected'!DL22*'W.F. at Appliance Level'!N22+'UCM Services Protected'!DM22*'W.F. at Appliance Level'!O22</f>
        <v>73.209082696866034</v>
      </c>
      <c r="DP22" s="138">
        <f>DN22*'W.F. End-use Level'!T23+'UCM Services Protected'!DO22*'W.F. End-use Level'!U23</f>
        <v>78.123996102991271</v>
      </c>
      <c r="DQ22" s="133">
        <f>AG22*'W.F. at Subsector Level'!B22+'UCM Services Protected'!AY22*'W.F. at Subsector Level'!C22+'UCM Services Protected'!BQ22*'W.F. at Subsector Level'!D22+'UCM Services Protected'!CI22*'W.F. at Subsector Level'!E22+'UCM Services Protected'!DA22*'W.F. at Subsector Level'!F22+'UCM Services Protected'!DP22*'W.F. at Subsector Level'!G22</f>
        <v>75.240681985496494</v>
      </c>
    </row>
    <row r="23" spans="1:121" ht="15.75" customHeight="1" x14ac:dyDescent="0.3">
      <c r="A23" s="54" t="s">
        <v>21</v>
      </c>
      <c r="B23" s="167">
        <f>'Appliance Prices'!B23</f>
        <v>213275.45768693477</v>
      </c>
      <c r="C23" s="167">
        <f>'Appliance Prices'!C23</f>
        <v>57834.25</v>
      </c>
      <c r="D23" s="167">
        <f>'Appliance Prices'!D23</f>
        <v>82274.712301587293</v>
      </c>
      <c r="E23" s="167">
        <f>'Appliance Prices'!E23</f>
        <v>23176.666666666664</v>
      </c>
      <c r="F23" s="167">
        <f>'Appliance Prices'!F23</f>
        <v>180332.14285714284</v>
      </c>
      <c r="G23" s="167">
        <f>'Appliance Prices'!G23</f>
        <v>12184.768926223373</v>
      </c>
      <c r="H23" s="167">
        <f>'Appliance Prices'!H23</f>
        <v>150921.37362637362</v>
      </c>
      <c r="I23" s="167">
        <f>'Fuel Prices excl. VAT'!B22</f>
        <v>5.4699999999999999E-2</v>
      </c>
      <c r="J23" s="167">
        <f>'Fuel Prices excl. VAT'!D22</f>
        <v>0.14410000000000001</v>
      </c>
      <c r="K23" s="167">
        <f>'Fuel Prices excl. VAT'!F22</f>
        <v>9.3470526315789476E-2</v>
      </c>
      <c r="L23" s="167">
        <f>'Fuel Prices excl. VAT'!H22</f>
        <v>4.1666666666666671E-2</v>
      </c>
      <c r="M23" s="167">
        <f t="shared" si="0"/>
        <v>8.9400000000000007E-2</v>
      </c>
      <c r="N23" s="167">
        <f t="shared" si="1"/>
        <v>3.8770526315789478E-2</v>
      </c>
      <c r="O23" s="167">
        <f t="shared" si="2"/>
        <v>-1.3033333333333327E-2</v>
      </c>
      <c r="P23" s="167">
        <f>B23/'Utilisation by Sector'!$K$9</f>
        <v>14.648039676300465</v>
      </c>
      <c r="Q23" s="167">
        <f>C23/'Utilisation by Sector'!$L$9</f>
        <v>0.66202209249084254</v>
      </c>
      <c r="R23" s="167">
        <f>D23/'Utilisation by Sector'!$M$9</f>
        <v>0.94178928916652116</v>
      </c>
      <c r="S23" s="167">
        <f>E23/'Utilisation by Sector'!$N$9</f>
        <v>0.57964852607709749</v>
      </c>
      <c r="T23" s="167">
        <f>F23/'Utilisation by Sector'!$O$9</f>
        <v>2.1047168867547015</v>
      </c>
      <c r="U23" s="167">
        <f>G23/'Utilisation by Sector'!$P$9</f>
        <v>0.10665939186119899</v>
      </c>
      <c r="V23" s="167">
        <f>H23/'Utilisation by Sector'!$Q$9</f>
        <v>1.3210904554129344</v>
      </c>
      <c r="W23" s="139">
        <f t="shared" si="3"/>
        <v>104.04803967630048</v>
      </c>
      <c r="X23" s="139">
        <f t="shared" si="4"/>
        <v>90.062022092490849</v>
      </c>
      <c r="Y23" s="139">
        <f t="shared" si="5"/>
        <v>90.341789289166528</v>
      </c>
      <c r="Z23" s="139">
        <f t="shared" si="6"/>
        <v>89.979648526077099</v>
      </c>
      <c r="AA23" s="139">
        <f t="shared" si="7"/>
        <v>91.504716886754707</v>
      </c>
      <c r="AB23" s="139">
        <f t="shared" si="8"/>
        <v>38.877185707650675</v>
      </c>
      <c r="AC23" s="139">
        <f t="shared" si="9"/>
        <v>-11.712242877920394</v>
      </c>
      <c r="AD23" s="139">
        <f>W23*'W.F. at Appliance Level'!I23</f>
        <v>104.04803967630048</v>
      </c>
      <c r="AE23" s="139">
        <f>X23*'W.F. at Appliance Level'!J23</f>
        <v>90.062022092490849</v>
      </c>
      <c r="AF23" s="139">
        <f>Y23*'W.F. at Appliance Level'!K23+'UCM Services Protected'!Z23*'W.F. at Appliance Level'!L23+'UCM Services Protected'!AA23*'W.F. at Appliance Level'!M23+'UCM Services Protected'!AB23*'W.F. at Appliance Level'!N23+'UCM Services Protected'!AC23*'W.F. at Appliance Level'!O23</f>
        <v>59.798219506345724</v>
      </c>
      <c r="AG23" s="139">
        <f>AD23*'W.F. End-use Level'!E24+'UCM Services Protected'!AE23*'W.F. End-use Level'!F24+'UCM Services Protected'!AF23*'W.F. End-use Level'!G24</f>
        <v>66.502434135196509</v>
      </c>
      <c r="AH23" s="167">
        <f>B23/'Utilisation by Sector'!$K$15</f>
        <v>37.416746962620131</v>
      </c>
      <c r="AI23" s="167">
        <f>C23/'Utilisation by Sector'!$L$15</f>
        <v>3.8048848684210528</v>
      </c>
      <c r="AJ23" s="167">
        <f>D23/'Utilisation by Sector'!$M$15</f>
        <v>6.0496111986461241</v>
      </c>
      <c r="AK23" s="167">
        <f>E23/'Utilisation by Sector'!$N$15</f>
        <v>2.4345238095238093</v>
      </c>
      <c r="AL23" s="167">
        <f>F23/'Utilisation by Sector'!$O$15</f>
        <v>8.8398109243697469</v>
      </c>
      <c r="AM23" s="167">
        <f>G23/'Utilisation by Sector'!$P$15</f>
        <v>0.44796944581703574</v>
      </c>
      <c r="AN23" s="167">
        <f>H23/'Utilisation by Sector'!$Q$15</f>
        <v>5.5485799127343247</v>
      </c>
      <c r="AO23" s="139">
        <f t="shared" si="10"/>
        <v>126.81674696262013</v>
      </c>
      <c r="AP23" s="139">
        <f t="shared" si="11"/>
        <v>93.204884868421061</v>
      </c>
      <c r="AQ23" s="139">
        <f t="shared" si="12"/>
        <v>95.449611198646124</v>
      </c>
      <c r="AR23" s="139">
        <f t="shared" si="13"/>
        <v>91.834523809523816</v>
      </c>
      <c r="AS23" s="139">
        <f t="shared" si="14"/>
        <v>98.239810924369749</v>
      </c>
      <c r="AT23" s="139">
        <f t="shared" si="15"/>
        <v>39.218495761606512</v>
      </c>
      <c r="AU23" s="139">
        <f t="shared" si="16"/>
        <v>-7.4847534205990032</v>
      </c>
      <c r="AV23" s="139">
        <f>AO23*'W.F. at Appliance Level'!I23</f>
        <v>126.81674696262013</v>
      </c>
      <c r="AW23" s="139">
        <f>AP23*'W.F. at Appliance Level'!J23</f>
        <v>93.204884868421061</v>
      </c>
      <c r="AX23" s="139">
        <f>AQ23*'W.F. at Appliance Level'!K23+'UCM Services Protected'!AR23*'W.F. at Appliance Level'!L23+'UCM Services Protected'!AS23*'W.F. at Appliance Level'!M23+'UCM Services Protected'!AT23*'W.F. at Appliance Level'!N23+'UCM Services Protected'!AU23*'W.F. at Appliance Level'!O23</f>
        <v>63.451537654709448</v>
      </c>
      <c r="AY23" s="139">
        <f>AV23*'W.F. End-use Level'!H24+'UCM Services Protected'!AW23*'W.F. End-use Level'!I24+'UCM Services Protected'!AX23*'W.F. End-use Level'!J24</f>
        <v>70.361225664288412</v>
      </c>
      <c r="AZ23" s="167">
        <f>B23/'Utilisation by Sector'!$K$21</f>
        <v>58.592158705201861</v>
      </c>
      <c r="BA23" s="167">
        <f>C23/'Utilisation by Sector'!$L$21</f>
        <v>0.66202209249084254</v>
      </c>
      <c r="BB23" s="167">
        <f>D23/'Utilisation by Sector'!$M$21</f>
        <v>0.94178928916652116</v>
      </c>
      <c r="BC23" s="167">
        <f>E23/'Utilisation by Sector'!$N$21</f>
        <v>0.57964852607709749</v>
      </c>
      <c r="BD23" s="167">
        <f>F23/'Utilisation by Sector'!$O$21</f>
        <v>2.1047168867547015</v>
      </c>
      <c r="BE23" s="167">
        <f>G23/'Utilisation by Sector'!$P$21</f>
        <v>0.10665939186119899</v>
      </c>
      <c r="BF23" s="167">
        <f>H23/'Utilisation by Sector'!$Q$21</f>
        <v>1.3210904554129344</v>
      </c>
      <c r="BG23" s="139">
        <f t="shared" si="17"/>
        <v>147.99215870520186</v>
      </c>
      <c r="BH23" s="139">
        <f t="shared" si="18"/>
        <v>90.062022092490849</v>
      </c>
      <c r="BI23" s="139">
        <f t="shared" si="19"/>
        <v>90.341789289166528</v>
      </c>
      <c r="BJ23" s="139">
        <f t="shared" si="20"/>
        <v>89.979648526077099</v>
      </c>
      <c r="BK23" s="139">
        <f t="shared" si="21"/>
        <v>91.504716886754707</v>
      </c>
      <c r="BL23" s="139">
        <f t="shared" si="22"/>
        <v>38.877185707650675</v>
      </c>
      <c r="BM23" s="139">
        <f t="shared" si="23"/>
        <v>-11.712242877920394</v>
      </c>
      <c r="BN23" s="139">
        <f>BG23*'W.F. at Appliance Level'!I23</f>
        <v>147.99215870520186</v>
      </c>
      <c r="BO23" s="139">
        <f>BH23*'W.F. at Appliance Level'!J23</f>
        <v>90.062022092490849</v>
      </c>
      <c r="BP23" s="139">
        <f>BI23*'W.F. at Appliance Level'!K23+'UCM Services Protected'!BJ23*'W.F. at Appliance Level'!L23+'UCM Services Protected'!BK23*'W.F. at Appliance Level'!M23+'UCM Services Protected'!BL23*'W.F. at Appliance Level'!N23+'UCM Services Protected'!BM23*'W.F. at Appliance Level'!O23</f>
        <v>59.798219506345724</v>
      </c>
      <c r="BQ23" s="139">
        <f>BN23*'W.F. End-use Level'!K24+'UCM Services Protected'!BO23*'W.F. End-use Level'!L24+'UCM Services Protected'!BP23*'W.F. End-use Level'!M24</f>
        <v>67.207231553462776</v>
      </c>
      <c r="BR23" s="167">
        <f>B23/'Utilisation by Sector'!$K$27</f>
        <v>58.592158705201861</v>
      </c>
      <c r="BS23" s="167">
        <f>C23/'Utilisation by Sector'!$L$27</f>
        <v>0.66202209249084254</v>
      </c>
      <c r="BT23" s="167">
        <f>D23/'Utilisation by Sector'!$M$27</f>
        <v>0.94178928916652116</v>
      </c>
      <c r="BU23" s="167">
        <f>E23/'Utilisation by Sector'!$N$27</f>
        <v>0.57964852607709749</v>
      </c>
      <c r="BV23" s="167">
        <f>F23/'Utilisation by Sector'!$O$27</f>
        <v>2.1047168867547015</v>
      </c>
      <c r="BW23" s="167">
        <f>G23/'Utilisation by Sector'!$P$27</f>
        <v>0.10665939186119899</v>
      </c>
      <c r="BX23" s="167">
        <f>H23/'Utilisation by Sector'!$Q$27</f>
        <v>1.3210904554129344</v>
      </c>
      <c r="BY23" s="139">
        <f t="shared" si="24"/>
        <v>147.99215870520186</v>
      </c>
      <c r="BZ23" s="139">
        <f t="shared" si="25"/>
        <v>90.062022092490849</v>
      </c>
      <c r="CA23" s="139">
        <f t="shared" si="26"/>
        <v>90.341789289166528</v>
      </c>
      <c r="CB23" s="139">
        <f t="shared" si="27"/>
        <v>89.979648526077099</v>
      </c>
      <c r="CC23" s="139">
        <f t="shared" si="28"/>
        <v>91.504716886754707</v>
      </c>
      <c r="CD23" s="139">
        <f t="shared" si="29"/>
        <v>38.877185707650675</v>
      </c>
      <c r="CE23" s="139">
        <f t="shared" si="30"/>
        <v>-11.712242877920394</v>
      </c>
      <c r="CF23" s="139">
        <f>BY23*'W.F. at Appliance Level'!I23</f>
        <v>147.99215870520186</v>
      </c>
      <c r="CG23" s="139">
        <f>BZ23*'W.F. at Appliance Level'!J23</f>
        <v>90.062022092490849</v>
      </c>
      <c r="CH23" s="139">
        <f>CA23*'W.F. at Appliance Level'!K23+'UCM Services Protected'!CB23*'W.F. at Appliance Level'!L23+'UCM Services Protected'!CC23*'W.F. at Appliance Level'!M23+'UCM Services Protected'!CD23*'W.F. at Appliance Level'!N23+'UCM Services Protected'!CE23*'W.F. at Appliance Level'!O23</f>
        <v>59.798219506345724</v>
      </c>
      <c r="CI23" s="139">
        <f>CF23*'W.F. End-use Level'!N24+'UCM Services Protected'!CG23*'W.F. End-use Level'!O24+'UCM Services Protected'!CH23*'W.F. End-use Level'!P24</f>
        <v>67.207231553462776</v>
      </c>
      <c r="CJ23" s="167">
        <f>B23/'Utilisation by Sector'!$K$33</f>
        <v>14.648039676300465</v>
      </c>
      <c r="CK23" s="167">
        <f>C23/'Utilisation by Sector'!$L$33</f>
        <v>0.66202209249084254</v>
      </c>
      <c r="CL23" s="167">
        <f>D23/'Utilisation by Sector'!$M$33</f>
        <v>0.94178928916652116</v>
      </c>
      <c r="CM23" s="167">
        <f>E23/'Utilisation by Sector'!$N$33</f>
        <v>0.57964852607709749</v>
      </c>
      <c r="CN23" s="167">
        <f>F23/'Utilisation by Sector'!$O$33</f>
        <v>2.1047168867547015</v>
      </c>
      <c r="CO23" s="167">
        <f>G23/'Utilisation by Sector'!$P$33</f>
        <v>0.10665939186119899</v>
      </c>
      <c r="CP23" s="167">
        <f>H23/'Utilisation by Sector'!$Q$33</f>
        <v>1.3210904554129344</v>
      </c>
      <c r="CQ23" s="139">
        <f t="shared" si="31"/>
        <v>104.04803967630048</v>
      </c>
      <c r="CR23" s="139">
        <f t="shared" si="32"/>
        <v>90.062022092490849</v>
      </c>
      <c r="CS23" s="139">
        <f t="shared" si="33"/>
        <v>90.341789289166528</v>
      </c>
      <c r="CT23" s="139">
        <f t="shared" si="34"/>
        <v>89.979648526077099</v>
      </c>
      <c r="CU23" s="139">
        <f t="shared" si="35"/>
        <v>91.504716886754707</v>
      </c>
      <c r="CV23" s="139">
        <f t="shared" si="36"/>
        <v>38.877185707650675</v>
      </c>
      <c r="CW23" s="139">
        <f t="shared" si="37"/>
        <v>-11.712242877920394</v>
      </c>
      <c r="CX23" s="139">
        <f>CQ23*'W.F. at Appliance Level'!I23</f>
        <v>104.04803967630048</v>
      </c>
      <c r="CY23" s="139">
        <f>CR23*'W.F. at Appliance Level'!J23</f>
        <v>90.062022092490849</v>
      </c>
      <c r="CZ23" s="139">
        <f>CS23*'W.F. at Appliance Level'!K23+'UCM Services Protected'!CT23*'W.F. at Appliance Level'!L23+'UCM Services Protected'!CU23*'W.F. at Appliance Level'!M23+'UCM Services Protected'!CV23*'W.F. at Appliance Level'!N23+'UCM Services Protected'!CW23*'W.F. at Appliance Level'!O23</f>
        <v>59.798219506345724</v>
      </c>
      <c r="DA23" s="139">
        <f>CX23*'W.F. End-use Level'!Q24+'UCM Services Protected'!CY23*'W.F. End-use Level'!R24+'UCM Services Protected'!CZ23*'W.F. End-use Level'!S24</f>
        <v>66.502434135196509</v>
      </c>
      <c r="DB23" s="167">
        <f>C23/'Utilisation by Sector'!$L$39</f>
        <v>2.7804927884615385</v>
      </c>
      <c r="DC23" s="167">
        <f>D23/'Utilisation by Sector'!$M$39</f>
        <v>6.0496111986461241</v>
      </c>
      <c r="DD23" s="167">
        <f>E23/'Utilisation by Sector'!$N$39</f>
        <v>2.4345238095238093</v>
      </c>
      <c r="DE23" s="167">
        <f>F23/'Utilisation by Sector'!$O$39</f>
        <v>8.8398109243697469</v>
      </c>
      <c r="DF23" s="167">
        <f>G23/'Utilisation by Sector'!$P$39</f>
        <v>0.44796944581703574</v>
      </c>
      <c r="DG23" s="167">
        <f>H23/'Utilisation by Sector'!$Q$39</f>
        <v>5.5485799127343247</v>
      </c>
      <c r="DH23" s="139">
        <f t="shared" si="38"/>
        <v>92.180492788461549</v>
      </c>
      <c r="DI23" s="139">
        <f t="shared" si="39"/>
        <v>95.449611198646124</v>
      </c>
      <c r="DJ23" s="139">
        <f t="shared" si="40"/>
        <v>91.834523809523816</v>
      </c>
      <c r="DK23" s="139">
        <f t="shared" si="41"/>
        <v>98.239810924369749</v>
      </c>
      <c r="DL23" s="139">
        <f t="shared" si="42"/>
        <v>39.218495761606512</v>
      </c>
      <c r="DM23" s="139">
        <f t="shared" si="43"/>
        <v>-7.4847534205990032</v>
      </c>
      <c r="DN23" s="139">
        <f>DH23*'W.F. at Appliance Level'!J23</f>
        <v>92.180492788461549</v>
      </c>
      <c r="DO23" s="139">
        <f>DI23*'W.F. at Appliance Level'!K23+'UCM Services Protected'!DJ23*'W.F. at Appliance Level'!L23+'UCM Services Protected'!DK23*'W.F. at Appliance Level'!M23+'UCM Services Protected'!DL23*'W.F. at Appliance Level'!N23+'UCM Services Protected'!DM23*'W.F. at Appliance Level'!O23</f>
        <v>63.451537654709448</v>
      </c>
      <c r="DP23" s="139">
        <f>DN23*'W.F. End-use Level'!T24+'UCM Services Protected'!DO23*'W.F. End-use Level'!U24</f>
        <v>69.234791051642432</v>
      </c>
      <c r="DQ23" s="134">
        <f>AG23*'W.F. at Subsector Level'!B23+'UCM Services Protected'!AY23*'W.F. at Subsector Level'!C23+'UCM Services Protected'!BQ23*'W.F. at Subsector Level'!D23+'UCM Services Protected'!CI23*'W.F. at Subsector Level'!E23+'UCM Services Protected'!DA23*'W.F. at Subsector Level'!F23+'UCM Services Protected'!DP23*'W.F. at Subsector Level'!G23</f>
        <v>67.83589134887491</v>
      </c>
    </row>
    <row r="24" spans="1:121" ht="15.75" customHeight="1" x14ac:dyDescent="0.3">
      <c r="A24" s="54" t="s">
        <v>22</v>
      </c>
      <c r="B24" s="166">
        <f>'Appliance Prices'!B24</f>
        <v>134611.0762800418</v>
      </c>
      <c r="C24" s="166">
        <f>'Appliance Prices'!C24</f>
        <v>61825</v>
      </c>
      <c r="D24" s="166">
        <f>'Appliance Prices'!D24</f>
        <v>119359.25429105756</v>
      </c>
      <c r="E24" s="166">
        <f>'Appliance Prices'!E24</f>
        <v>9909.0000000000018</v>
      </c>
      <c r="F24" s="166">
        <f>'Appliance Prices'!F24</f>
        <v>364239.75495103037</v>
      </c>
      <c r="G24" s="166">
        <f>'Appliance Prices'!G24</f>
        <v>16986.775912955374</v>
      </c>
      <c r="H24" s="166">
        <f>'Appliance Prices'!H24</f>
        <v>117940.41478129714</v>
      </c>
      <c r="I24" s="166">
        <f>'Fuel Prices excl. VAT'!B23</f>
        <v>2.7699999999999999E-2</v>
      </c>
      <c r="J24" s="166">
        <f>'Fuel Prices excl. VAT'!D23</f>
        <v>8.8599999999999998E-2</v>
      </c>
      <c r="K24" s="166">
        <f>'Fuel Prices excl. VAT'!F23</f>
        <v>0.12857796876180244</v>
      </c>
      <c r="L24" s="166">
        <f>'Fuel Prices excl. VAT'!H23</f>
        <v>4.4999999999999998E-2</v>
      </c>
      <c r="M24" s="166">
        <f t="shared" si="0"/>
        <v>6.0899999999999996E-2</v>
      </c>
      <c r="N24" s="166">
        <f t="shared" si="1"/>
        <v>0.10087796876180244</v>
      </c>
      <c r="O24" s="166">
        <f t="shared" si="2"/>
        <v>1.7299999999999999E-2</v>
      </c>
      <c r="P24" s="166">
        <f>B24/'Utilisation by Sector'!$K$9</f>
        <v>9.2452662280248497</v>
      </c>
      <c r="Q24" s="166">
        <f>C24/'Utilisation by Sector'!$L$9</f>
        <v>0.70770375457875456</v>
      </c>
      <c r="R24" s="166">
        <f>D24/'Utilisation by Sector'!$M$9</f>
        <v>1.3662918302547797</v>
      </c>
      <c r="S24" s="166">
        <f>E24/'Utilisation by Sector'!$N$9</f>
        <v>0.24782412965186079</v>
      </c>
      <c r="T24" s="166">
        <f>F24/'Utilisation by Sector'!$O$9</f>
        <v>4.2511642734714092</v>
      </c>
      <c r="U24" s="166">
        <f>G24/'Utilisation by Sector'!$P$9</f>
        <v>0.14869376674505755</v>
      </c>
      <c r="V24" s="166">
        <f>H24/'Utilisation by Sector'!$Q$9</f>
        <v>1.0323915859707382</v>
      </c>
      <c r="W24" s="138">
        <f t="shared" si="3"/>
        <v>70.145266228024852</v>
      </c>
      <c r="X24" s="138">
        <f t="shared" si="4"/>
        <v>61.60770375457875</v>
      </c>
      <c r="Y24" s="138">
        <f t="shared" si="5"/>
        <v>62.266291830254779</v>
      </c>
      <c r="Z24" s="138">
        <f t="shared" si="6"/>
        <v>61.147824129651859</v>
      </c>
      <c r="AA24" s="138">
        <f t="shared" si="7"/>
        <v>65.151164273471409</v>
      </c>
      <c r="AB24" s="138">
        <f t="shared" si="8"/>
        <v>101.02666252854749</v>
      </c>
      <c r="AC24" s="138">
        <f t="shared" si="9"/>
        <v>18.33239158597074</v>
      </c>
      <c r="AD24" s="138">
        <f>W24*'W.F. at Appliance Level'!I24</f>
        <v>70.145266228024852</v>
      </c>
      <c r="AE24" s="138">
        <f>X24*'W.F. at Appliance Level'!J24</f>
        <v>61.60770375457875</v>
      </c>
      <c r="AF24" s="138">
        <f>Y24*'W.F. at Appliance Level'!K24+'UCM Services Protected'!Z24*'W.F. at Appliance Level'!L24+'UCM Services Protected'!AA24*'W.F. at Appliance Level'!M24+'UCM Services Protected'!AB24*'W.F. at Appliance Level'!N24+'UCM Services Protected'!AC24*'W.F. at Appliance Level'!O24</f>
        <v>61.584866869579258</v>
      </c>
      <c r="AG24" s="138">
        <f>AD24*'W.F. End-use Level'!E25+'UCM Services Protected'!AE24*'W.F. End-use Level'!F25+'UCM Services Protected'!AF24*'W.F. End-use Level'!G25</f>
        <v>61.632253200637237</v>
      </c>
      <c r="AH24" s="166">
        <f>B24/'Utilisation by Sector'!$K$15</f>
        <v>23.615978294744174</v>
      </c>
      <c r="AI24" s="166">
        <f>C24/'Utilisation by Sector'!$L$15</f>
        <v>4.0674342105263159</v>
      </c>
      <c r="AJ24" s="166">
        <f>D24/'Utilisation by Sector'!$M$15</f>
        <v>8.7764157566954086</v>
      </c>
      <c r="AK24" s="166">
        <f>E24/'Utilisation by Sector'!$N$15</f>
        <v>1.0408613445378154</v>
      </c>
      <c r="AL24" s="166">
        <f>F24/'Utilisation by Sector'!$O$15</f>
        <v>17.85488994857992</v>
      </c>
      <c r="AM24" s="166">
        <f>G24/'Utilisation by Sector'!$P$15</f>
        <v>0.62451382032924174</v>
      </c>
      <c r="AN24" s="166">
        <f>H24/'Utilisation by Sector'!$Q$15</f>
        <v>4.3360446610771008</v>
      </c>
      <c r="AO24" s="138">
        <f t="shared" si="10"/>
        <v>84.515978294744173</v>
      </c>
      <c r="AP24" s="138">
        <f t="shared" si="11"/>
        <v>64.967434210526321</v>
      </c>
      <c r="AQ24" s="138">
        <f t="shared" si="12"/>
        <v>69.676415756695405</v>
      </c>
      <c r="AR24" s="138">
        <f t="shared" si="13"/>
        <v>61.940861344537815</v>
      </c>
      <c r="AS24" s="138">
        <f t="shared" si="14"/>
        <v>78.754889948579915</v>
      </c>
      <c r="AT24" s="138">
        <f t="shared" si="15"/>
        <v>101.50248258213168</v>
      </c>
      <c r="AU24" s="138">
        <f t="shared" si="16"/>
        <v>21.636044661077101</v>
      </c>
      <c r="AV24" s="138">
        <f>AO24*'W.F. at Appliance Level'!I24</f>
        <v>84.515978294744173</v>
      </c>
      <c r="AW24" s="138">
        <f>AP24*'W.F. at Appliance Level'!J24</f>
        <v>64.967434210526321</v>
      </c>
      <c r="AX24" s="138">
        <f>AQ24*'W.F. at Appliance Level'!K24+'UCM Services Protected'!AR24*'W.F. at Appliance Level'!L24+'UCM Services Protected'!AS24*'W.F. at Appliance Level'!M24+'UCM Services Protected'!AT24*'W.F. at Appliance Level'!N24+'UCM Services Protected'!AU24*'W.F. at Appliance Level'!O24</f>
        <v>66.702138858604386</v>
      </c>
      <c r="AY24" s="138">
        <f>AV24*'W.F. End-use Level'!H25+'UCM Services Protected'!AW24*'W.F. End-use Level'!I25+'UCM Services Protected'!AX24*'W.F. End-use Level'!J25</f>
        <v>66.689733377501227</v>
      </c>
      <c r="AZ24" s="166">
        <f>B24/'Utilisation by Sector'!$K$21</f>
        <v>36.981064912099399</v>
      </c>
      <c r="BA24" s="166">
        <f>C24/'Utilisation by Sector'!$L$21</f>
        <v>0.70770375457875456</v>
      </c>
      <c r="BB24" s="166">
        <f>D24/'Utilisation by Sector'!$M$21</f>
        <v>1.3662918302547797</v>
      </c>
      <c r="BC24" s="166">
        <f>E24/'Utilisation by Sector'!$N$21</f>
        <v>0.24782412965186079</v>
      </c>
      <c r="BD24" s="166">
        <f>F24/'Utilisation by Sector'!$O$21</f>
        <v>4.2511642734714092</v>
      </c>
      <c r="BE24" s="166">
        <f>G24/'Utilisation by Sector'!$P$21</f>
        <v>0.14869376674505755</v>
      </c>
      <c r="BF24" s="166">
        <f>H24/'Utilisation by Sector'!$Q$21</f>
        <v>1.0323915859707382</v>
      </c>
      <c r="BG24" s="138">
        <f t="shared" si="17"/>
        <v>97.88106491209939</v>
      </c>
      <c r="BH24" s="138">
        <f t="shared" si="18"/>
        <v>61.60770375457875</v>
      </c>
      <c r="BI24" s="138">
        <f t="shared" si="19"/>
        <v>62.266291830254779</v>
      </c>
      <c r="BJ24" s="138">
        <f t="shared" si="20"/>
        <v>61.147824129651859</v>
      </c>
      <c r="BK24" s="138">
        <f t="shared" si="21"/>
        <v>65.151164273471409</v>
      </c>
      <c r="BL24" s="138">
        <f t="shared" si="22"/>
        <v>101.02666252854749</v>
      </c>
      <c r="BM24" s="138">
        <f t="shared" si="23"/>
        <v>18.33239158597074</v>
      </c>
      <c r="BN24" s="138">
        <f>BG24*'W.F. at Appliance Level'!I24</f>
        <v>97.88106491209939</v>
      </c>
      <c r="BO24" s="138">
        <f>BH24*'W.F. at Appliance Level'!J24</f>
        <v>61.60770375457875</v>
      </c>
      <c r="BP24" s="138">
        <f>BI24*'W.F. at Appliance Level'!K24+'UCM Services Protected'!BJ24*'W.F. at Appliance Level'!L24+'UCM Services Protected'!BK24*'W.F. at Appliance Level'!M24+'UCM Services Protected'!BL24*'W.F. at Appliance Level'!N24+'UCM Services Protected'!BM24*'W.F. at Appliance Level'!O24</f>
        <v>61.584866869579258</v>
      </c>
      <c r="BQ24" s="138">
        <f>BN24*'W.F. End-use Level'!K25+'UCM Services Protected'!BO24*'W.F. End-use Level'!L25+'UCM Services Protected'!BP24*'W.F. End-use Level'!M25</f>
        <v>61.781176563332039</v>
      </c>
      <c r="BR24" s="166">
        <f>B24/'Utilisation by Sector'!$K$27</f>
        <v>36.981064912099399</v>
      </c>
      <c r="BS24" s="166">
        <f>C24/'Utilisation by Sector'!$L$27</f>
        <v>0.70770375457875456</v>
      </c>
      <c r="BT24" s="166">
        <f>D24/'Utilisation by Sector'!$M$27</f>
        <v>1.3662918302547797</v>
      </c>
      <c r="BU24" s="166">
        <f>E24/'Utilisation by Sector'!$N$27</f>
        <v>0.24782412965186079</v>
      </c>
      <c r="BV24" s="166">
        <f>F24/'Utilisation by Sector'!$O$27</f>
        <v>4.2511642734714092</v>
      </c>
      <c r="BW24" s="166">
        <f>G24/'Utilisation by Sector'!$P$27</f>
        <v>0.14869376674505755</v>
      </c>
      <c r="BX24" s="166">
        <f>H24/'Utilisation by Sector'!$Q$27</f>
        <v>1.0323915859707382</v>
      </c>
      <c r="BY24" s="138">
        <f t="shared" si="24"/>
        <v>97.88106491209939</v>
      </c>
      <c r="BZ24" s="138">
        <f t="shared" si="25"/>
        <v>61.60770375457875</v>
      </c>
      <c r="CA24" s="138">
        <f t="shared" si="26"/>
        <v>62.266291830254779</v>
      </c>
      <c r="CB24" s="138">
        <f t="shared" si="27"/>
        <v>61.147824129651859</v>
      </c>
      <c r="CC24" s="138">
        <f t="shared" si="28"/>
        <v>65.151164273471409</v>
      </c>
      <c r="CD24" s="138">
        <f t="shared" si="29"/>
        <v>101.02666252854749</v>
      </c>
      <c r="CE24" s="138">
        <f t="shared" si="30"/>
        <v>18.33239158597074</v>
      </c>
      <c r="CF24" s="138">
        <f>BY24*'W.F. at Appliance Level'!I24</f>
        <v>97.88106491209939</v>
      </c>
      <c r="CG24" s="138">
        <f>BZ24*'W.F. at Appliance Level'!J24</f>
        <v>61.60770375457875</v>
      </c>
      <c r="CH24" s="138">
        <f>CA24*'W.F. at Appliance Level'!K24+'UCM Services Protected'!CB24*'W.F. at Appliance Level'!L24+'UCM Services Protected'!CC24*'W.F. at Appliance Level'!M24+'UCM Services Protected'!CD24*'W.F. at Appliance Level'!N24+'UCM Services Protected'!CE24*'W.F. at Appliance Level'!O24</f>
        <v>61.584866869579258</v>
      </c>
      <c r="CI24" s="138">
        <f>CF24*'W.F. End-use Level'!N25+'UCM Services Protected'!CG24*'W.F. End-use Level'!O25+'UCM Services Protected'!CH24*'W.F. End-use Level'!P25</f>
        <v>61.781176563332039</v>
      </c>
      <c r="CJ24" s="166">
        <f>B24/'Utilisation by Sector'!$K$33</f>
        <v>9.2452662280248497</v>
      </c>
      <c r="CK24" s="166">
        <f>C24/'Utilisation by Sector'!$L$33</f>
        <v>0.70770375457875456</v>
      </c>
      <c r="CL24" s="166">
        <f>D24/'Utilisation by Sector'!$M$33</f>
        <v>1.3662918302547797</v>
      </c>
      <c r="CM24" s="166">
        <f>E24/'Utilisation by Sector'!$N$33</f>
        <v>0.24782412965186079</v>
      </c>
      <c r="CN24" s="166">
        <f>F24/'Utilisation by Sector'!$O$33</f>
        <v>4.2511642734714092</v>
      </c>
      <c r="CO24" s="166">
        <f>G24/'Utilisation by Sector'!$P$33</f>
        <v>0.14869376674505755</v>
      </c>
      <c r="CP24" s="166">
        <f>H24/'Utilisation by Sector'!$Q$33</f>
        <v>1.0323915859707382</v>
      </c>
      <c r="CQ24" s="138">
        <f t="shared" si="31"/>
        <v>70.145266228024852</v>
      </c>
      <c r="CR24" s="138">
        <f t="shared" si="32"/>
        <v>61.60770375457875</v>
      </c>
      <c r="CS24" s="138">
        <f t="shared" si="33"/>
        <v>62.266291830254779</v>
      </c>
      <c r="CT24" s="138">
        <f t="shared" si="34"/>
        <v>61.147824129651859</v>
      </c>
      <c r="CU24" s="138">
        <f t="shared" si="35"/>
        <v>65.151164273471409</v>
      </c>
      <c r="CV24" s="138">
        <f t="shared" si="36"/>
        <v>101.02666252854749</v>
      </c>
      <c r="CW24" s="138">
        <f t="shared" si="37"/>
        <v>18.33239158597074</v>
      </c>
      <c r="CX24" s="138">
        <f>CQ24*'W.F. at Appliance Level'!I24</f>
        <v>70.145266228024852</v>
      </c>
      <c r="CY24" s="138">
        <f>CR24*'W.F. at Appliance Level'!J24</f>
        <v>61.60770375457875</v>
      </c>
      <c r="CZ24" s="138">
        <f>CS24*'W.F. at Appliance Level'!K24+'UCM Services Protected'!CT24*'W.F. at Appliance Level'!L24+'UCM Services Protected'!CU24*'W.F. at Appliance Level'!M24+'UCM Services Protected'!CV24*'W.F. at Appliance Level'!N24+'UCM Services Protected'!CW24*'W.F. at Appliance Level'!O24</f>
        <v>61.584866869579258</v>
      </c>
      <c r="DA24" s="138">
        <f>CX24*'W.F. End-use Level'!Q25+'UCM Services Protected'!CY24*'W.F. End-use Level'!R25+'UCM Services Protected'!CZ24*'W.F. End-use Level'!S25</f>
        <v>61.632253200637237</v>
      </c>
      <c r="DB24" s="166">
        <f>C24/'Utilisation by Sector'!$L$39</f>
        <v>2.9723557692307692</v>
      </c>
      <c r="DC24" s="166">
        <f>D24/'Utilisation by Sector'!$M$39</f>
        <v>8.7764157566954086</v>
      </c>
      <c r="DD24" s="166">
        <f>E24/'Utilisation by Sector'!$N$39</f>
        <v>1.0408613445378154</v>
      </c>
      <c r="DE24" s="166">
        <f>F24/'Utilisation by Sector'!$O$39</f>
        <v>17.85488994857992</v>
      </c>
      <c r="DF24" s="166">
        <f>G24/'Utilisation by Sector'!$P$39</f>
        <v>0.62451382032924174</v>
      </c>
      <c r="DG24" s="166">
        <f>H24/'Utilisation by Sector'!$Q$39</f>
        <v>4.3360446610771008</v>
      </c>
      <c r="DH24" s="138">
        <f t="shared" si="38"/>
        <v>63.872355769230765</v>
      </c>
      <c r="DI24" s="138">
        <f t="shared" si="39"/>
        <v>69.676415756695405</v>
      </c>
      <c r="DJ24" s="138">
        <f t="shared" si="40"/>
        <v>61.940861344537815</v>
      </c>
      <c r="DK24" s="138">
        <f t="shared" si="41"/>
        <v>78.754889948579915</v>
      </c>
      <c r="DL24" s="138">
        <f t="shared" si="42"/>
        <v>101.50248258213168</v>
      </c>
      <c r="DM24" s="138">
        <f t="shared" si="43"/>
        <v>21.636044661077101</v>
      </c>
      <c r="DN24" s="138">
        <f>DH24*'W.F. at Appliance Level'!J24</f>
        <v>63.872355769230765</v>
      </c>
      <c r="DO24" s="138">
        <f>DI24*'W.F. at Appliance Level'!K24+'UCM Services Protected'!DJ24*'W.F. at Appliance Level'!L24+'UCM Services Protected'!DK24*'W.F. at Appliance Level'!M24+'UCM Services Protected'!DL24*'W.F. at Appliance Level'!N24+'UCM Services Protected'!DM24*'W.F. at Appliance Level'!O24</f>
        <v>66.702138858604386</v>
      </c>
      <c r="DP24" s="138">
        <f>DN24*'W.F. End-use Level'!T25+'UCM Services Protected'!DO24*'W.F. End-use Level'!U25</f>
        <v>66.524920833003208</v>
      </c>
      <c r="DQ24" s="133">
        <f>AG24*'W.F. at Subsector Level'!B24+'UCM Services Protected'!AY24*'W.F. at Subsector Level'!C24+'UCM Services Protected'!BQ24*'W.F. at Subsector Level'!D24+'UCM Services Protected'!CI24*'W.F. at Subsector Level'!E24+'UCM Services Protected'!DA24*'W.F. at Subsector Level'!F24+'UCM Services Protected'!DP24*'W.F. at Subsector Level'!G24</f>
        <v>63.340252289740505</v>
      </c>
    </row>
    <row r="25" spans="1:121" ht="15.75" customHeight="1" x14ac:dyDescent="0.3">
      <c r="A25" s="54" t="s">
        <v>23</v>
      </c>
      <c r="B25" s="167">
        <f>'Appliance Prices'!B25</f>
        <v>212382.96136834181</v>
      </c>
      <c r="C25" s="167">
        <f>'Appliance Prices'!C25</f>
        <v>95980.0625</v>
      </c>
      <c r="D25" s="167">
        <f>'Appliance Prices'!D25</f>
        <v>170598.16111381984</v>
      </c>
      <c r="E25" s="167">
        <f>'Appliance Prices'!E25</f>
        <v>6659.7</v>
      </c>
      <c r="F25" s="167">
        <f>'Appliance Prices'!F25</f>
        <v>364239.75495103037</v>
      </c>
      <c r="G25" s="167">
        <f>'Appliance Prices'!G25</f>
        <v>18890.875</v>
      </c>
      <c r="H25" s="167">
        <f>'Appliance Prices'!H25</f>
        <v>159767.27929984778</v>
      </c>
      <c r="I25" s="167">
        <f>'Fuel Prices excl. VAT'!B24</f>
        <v>6.3100000000000003E-2</v>
      </c>
      <c r="J25" s="167">
        <f>'Fuel Prices excl. VAT'!D24</f>
        <v>0.12909999999999999</v>
      </c>
      <c r="K25" s="167">
        <f>'Fuel Prices excl. VAT'!F24</f>
        <v>0.11294736842105263</v>
      </c>
      <c r="L25" s="167">
        <f>'Fuel Prices excl. VAT'!H24</f>
        <v>4.4999999999999998E-2</v>
      </c>
      <c r="M25" s="167">
        <f t="shared" si="0"/>
        <v>6.5999999999999989E-2</v>
      </c>
      <c r="N25" s="167">
        <f t="shared" si="1"/>
        <v>4.9847368421052626E-2</v>
      </c>
      <c r="O25" s="167">
        <f t="shared" si="2"/>
        <v>-1.8100000000000005E-2</v>
      </c>
      <c r="P25" s="167">
        <f>B25/'Utilisation by Sector'!$K$9</f>
        <v>14.586741852221278</v>
      </c>
      <c r="Q25" s="167">
        <f>C25/'Utilisation by Sector'!$L$9</f>
        <v>1.0986728766025642</v>
      </c>
      <c r="R25" s="167">
        <f>D25/'Utilisation by Sector'!$M$9</f>
        <v>1.9528177783175347</v>
      </c>
      <c r="S25" s="167">
        <f>E25/'Utilisation by Sector'!$N$9</f>
        <v>0.16655912364945977</v>
      </c>
      <c r="T25" s="167">
        <f>F25/'Utilisation by Sector'!$O$9</f>
        <v>4.2511642734714092</v>
      </c>
      <c r="U25" s="167">
        <f>G25/'Utilisation by Sector'!$P$9</f>
        <v>0.16536130077030811</v>
      </c>
      <c r="V25" s="167">
        <f>H25/'Utilisation by Sector'!$Q$9</f>
        <v>1.3985231031149141</v>
      </c>
      <c r="W25" s="139">
        <f t="shared" si="3"/>
        <v>80.586741852221266</v>
      </c>
      <c r="X25" s="139">
        <f t="shared" si="4"/>
        <v>67.098672876602549</v>
      </c>
      <c r="Y25" s="139">
        <f t="shared" si="5"/>
        <v>67.952817778317524</v>
      </c>
      <c r="Z25" s="139">
        <f t="shared" si="6"/>
        <v>66.166559123649449</v>
      </c>
      <c r="AA25" s="139">
        <f t="shared" si="7"/>
        <v>70.251164273471389</v>
      </c>
      <c r="AB25" s="139">
        <f t="shared" si="8"/>
        <v>50.012729721822936</v>
      </c>
      <c r="AC25" s="139">
        <f t="shared" si="9"/>
        <v>-16.70147689688509</v>
      </c>
      <c r="AD25" s="139">
        <f>W25*'W.F. at Appliance Level'!I25</f>
        <v>80.586741852221266</v>
      </c>
      <c r="AE25" s="139">
        <f>X25*'W.F. at Appliance Level'!J25</f>
        <v>67.098672876602549</v>
      </c>
      <c r="AF25" s="139">
        <f>Y25*'W.F. at Appliance Level'!K25+'UCM Services Protected'!Z25*'W.F. at Appliance Level'!L25+'UCM Services Protected'!AA25*'W.F. at Appliance Level'!M25+'UCM Services Protected'!AB25*'W.F. at Appliance Level'!N25+'UCM Services Protected'!AC25*'W.F. at Appliance Level'!O25</f>
        <v>47.536358800075242</v>
      </c>
      <c r="AG25" s="139">
        <f>AD25*'W.F. End-use Level'!E26+'UCM Services Protected'!AE25*'W.F. End-use Level'!F26+'UCM Services Protected'!AF25*'W.F. End-use Level'!G26</f>
        <v>50.112725701542196</v>
      </c>
      <c r="AH25" s="167">
        <f>B25/'Utilisation by Sector'!$K$15</f>
        <v>37.260168661112601</v>
      </c>
      <c r="AI25" s="167">
        <f>C25/'Utilisation by Sector'!$L$15</f>
        <v>6.3144777960526319</v>
      </c>
      <c r="AJ25" s="167">
        <f>D25/'Utilisation by Sector'!$M$15</f>
        <v>12.543982434839693</v>
      </c>
      <c r="AK25" s="167">
        <f>E25/'Utilisation by Sector'!$N$15</f>
        <v>0.69954831932773109</v>
      </c>
      <c r="AL25" s="167">
        <f>F25/'Utilisation by Sector'!$O$15</f>
        <v>17.85488994857992</v>
      </c>
      <c r="AM25" s="167">
        <f>G25/'Utilisation by Sector'!$P$15</f>
        <v>0.69451746323529406</v>
      </c>
      <c r="AN25" s="167">
        <f>H25/'Utilisation by Sector'!$Q$15</f>
        <v>5.8737970330826395</v>
      </c>
      <c r="AO25" s="139">
        <f t="shared" si="10"/>
        <v>103.26016866111259</v>
      </c>
      <c r="AP25" s="139">
        <f t="shared" si="11"/>
        <v>72.314477796052614</v>
      </c>
      <c r="AQ25" s="139">
        <f t="shared" si="12"/>
        <v>78.543982434839677</v>
      </c>
      <c r="AR25" s="139">
        <f t="shared" si="13"/>
        <v>66.699548319327718</v>
      </c>
      <c r="AS25" s="139">
        <f t="shared" si="14"/>
        <v>83.85488994857991</v>
      </c>
      <c r="AT25" s="139">
        <f t="shared" si="15"/>
        <v>50.541885884287922</v>
      </c>
      <c r="AU25" s="139">
        <f t="shared" si="16"/>
        <v>-12.226202966917366</v>
      </c>
      <c r="AV25" s="139">
        <f>AO25*'W.F. at Appliance Level'!I25</f>
        <v>103.26016866111259</v>
      </c>
      <c r="AW25" s="139">
        <f>AP25*'W.F. at Appliance Level'!J25</f>
        <v>72.314477796052614</v>
      </c>
      <c r="AX25" s="139">
        <f>AQ25*'W.F. at Appliance Level'!K25+'UCM Services Protected'!AR25*'W.F. at Appliance Level'!L25+'UCM Services Protected'!AS25*'W.F. at Appliance Level'!M25+'UCM Services Protected'!AT25*'W.F. at Appliance Level'!N25+'UCM Services Protected'!AU25*'W.F. at Appliance Level'!O25</f>
        <v>53.482820724023583</v>
      </c>
      <c r="AY25" s="139">
        <f>AV25*'W.F. End-use Level'!H26+'UCM Services Protected'!AW25*'W.F. End-use Level'!I26+'UCM Services Protected'!AX25*'W.F. End-use Level'!J26</f>
        <v>56.438937762569083</v>
      </c>
      <c r="AZ25" s="167">
        <f>B25/'Utilisation by Sector'!$K$21</f>
        <v>58.346967408885114</v>
      </c>
      <c r="BA25" s="167">
        <f>C25/'Utilisation by Sector'!$L$21</f>
        <v>1.0986728766025642</v>
      </c>
      <c r="BB25" s="167">
        <f>D25/'Utilisation by Sector'!$M$21</f>
        <v>1.9528177783175347</v>
      </c>
      <c r="BC25" s="167">
        <f>E25/'Utilisation by Sector'!$N$21</f>
        <v>0.16655912364945977</v>
      </c>
      <c r="BD25" s="167">
        <f>F25/'Utilisation by Sector'!$O$21</f>
        <v>4.2511642734714092</v>
      </c>
      <c r="BE25" s="167">
        <f>G25/'Utilisation by Sector'!$P$21</f>
        <v>0.16536130077030811</v>
      </c>
      <c r="BF25" s="167">
        <f>H25/'Utilisation by Sector'!$Q$21</f>
        <v>1.3985231031149141</v>
      </c>
      <c r="BG25" s="139">
        <f t="shared" si="17"/>
        <v>124.34696740888509</v>
      </c>
      <c r="BH25" s="139">
        <f t="shared" si="18"/>
        <v>67.098672876602549</v>
      </c>
      <c r="BI25" s="139">
        <f t="shared" si="19"/>
        <v>67.952817778317524</v>
      </c>
      <c r="BJ25" s="139">
        <f t="shared" si="20"/>
        <v>66.166559123649449</v>
      </c>
      <c r="BK25" s="139">
        <f t="shared" si="21"/>
        <v>70.251164273471389</v>
      </c>
      <c r="BL25" s="139">
        <f t="shared" si="22"/>
        <v>50.012729721822936</v>
      </c>
      <c r="BM25" s="139">
        <f t="shared" si="23"/>
        <v>-16.70147689688509</v>
      </c>
      <c r="BN25" s="139">
        <f>BG25*'W.F. at Appliance Level'!I25</f>
        <v>124.34696740888509</v>
      </c>
      <c r="BO25" s="139">
        <f>BH25*'W.F. at Appliance Level'!J25</f>
        <v>67.098672876602549</v>
      </c>
      <c r="BP25" s="139">
        <f>BI25*'W.F. at Appliance Level'!K25+'UCM Services Protected'!BJ25*'W.F. at Appliance Level'!L25+'UCM Services Protected'!BK25*'W.F. at Appliance Level'!M25+'UCM Services Protected'!BL25*'W.F. at Appliance Level'!N25+'UCM Services Protected'!BM25*'W.F. at Appliance Level'!O25</f>
        <v>47.536358800075242</v>
      </c>
      <c r="BQ25" s="139">
        <f>BN25*'W.F. End-use Level'!K26+'UCM Services Protected'!BO25*'W.F. End-use Level'!L26+'UCM Services Protected'!BP25*'W.F. End-use Level'!M26</f>
        <v>51.272373691466427</v>
      </c>
      <c r="BR25" s="167">
        <f>B25/'Utilisation by Sector'!$K$27</f>
        <v>58.346967408885114</v>
      </c>
      <c r="BS25" s="167">
        <f>C25/'Utilisation by Sector'!$L$27</f>
        <v>1.0986728766025642</v>
      </c>
      <c r="BT25" s="167">
        <f>D25/'Utilisation by Sector'!$M$27</f>
        <v>1.9528177783175347</v>
      </c>
      <c r="BU25" s="167">
        <f>E25/'Utilisation by Sector'!$N$27</f>
        <v>0.16655912364945977</v>
      </c>
      <c r="BV25" s="167">
        <f>F25/'Utilisation by Sector'!$O$27</f>
        <v>4.2511642734714092</v>
      </c>
      <c r="BW25" s="167">
        <f>G25/'Utilisation by Sector'!$P$27</f>
        <v>0.16536130077030811</v>
      </c>
      <c r="BX25" s="167">
        <f>H25/'Utilisation by Sector'!$Q$27</f>
        <v>1.3985231031149141</v>
      </c>
      <c r="BY25" s="139">
        <f t="shared" si="24"/>
        <v>124.34696740888509</v>
      </c>
      <c r="BZ25" s="139">
        <f t="shared" si="25"/>
        <v>67.098672876602549</v>
      </c>
      <c r="CA25" s="139">
        <f t="shared" si="26"/>
        <v>67.952817778317524</v>
      </c>
      <c r="CB25" s="139">
        <f t="shared" si="27"/>
        <v>66.166559123649449</v>
      </c>
      <c r="CC25" s="139">
        <f t="shared" si="28"/>
        <v>70.251164273471389</v>
      </c>
      <c r="CD25" s="139">
        <f t="shared" si="29"/>
        <v>50.012729721822936</v>
      </c>
      <c r="CE25" s="139">
        <f t="shared" si="30"/>
        <v>-16.70147689688509</v>
      </c>
      <c r="CF25" s="139">
        <f>BY25*'W.F. at Appliance Level'!I25</f>
        <v>124.34696740888509</v>
      </c>
      <c r="CG25" s="139">
        <f>BZ25*'W.F. at Appliance Level'!J25</f>
        <v>67.098672876602549</v>
      </c>
      <c r="CH25" s="139">
        <f>CA25*'W.F. at Appliance Level'!K25+'UCM Services Protected'!CB25*'W.F. at Appliance Level'!L25+'UCM Services Protected'!CC25*'W.F. at Appliance Level'!M25+'UCM Services Protected'!CD25*'W.F. at Appliance Level'!N25+'UCM Services Protected'!CE25*'W.F. at Appliance Level'!O25</f>
        <v>47.536358800075242</v>
      </c>
      <c r="CI25" s="139">
        <f>CF25*'W.F. End-use Level'!N26+'UCM Services Protected'!CG25*'W.F. End-use Level'!O26+'UCM Services Protected'!CH25*'W.F. End-use Level'!P26</f>
        <v>51.272373691466427</v>
      </c>
      <c r="CJ25" s="167">
        <f>B25/'Utilisation by Sector'!$K$33</f>
        <v>14.586741852221278</v>
      </c>
      <c r="CK25" s="167">
        <f>C25/'Utilisation by Sector'!$L$33</f>
        <v>1.0986728766025642</v>
      </c>
      <c r="CL25" s="167">
        <f>D25/'Utilisation by Sector'!$M$33</f>
        <v>1.9528177783175347</v>
      </c>
      <c r="CM25" s="167">
        <f>E25/'Utilisation by Sector'!$N$33</f>
        <v>0.16655912364945977</v>
      </c>
      <c r="CN25" s="167">
        <f>F25/'Utilisation by Sector'!$O$33</f>
        <v>4.2511642734714092</v>
      </c>
      <c r="CO25" s="167">
        <f>G25/'Utilisation by Sector'!$P$33</f>
        <v>0.16536130077030811</v>
      </c>
      <c r="CP25" s="167">
        <f>H25/'Utilisation by Sector'!$Q$33</f>
        <v>1.3985231031149141</v>
      </c>
      <c r="CQ25" s="139">
        <f t="shared" si="31"/>
        <v>80.586741852221266</v>
      </c>
      <c r="CR25" s="139">
        <f t="shared" si="32"/>
        <v>67.098672876602549</v>
      </c>
      <c r="CS25" s="139">
        <f t="shared" si="33"/>
        <v>67.952817778317524</v>
      </c>
      <c r="CT25" s="139">
        <f t="shared" si="34"/>
        <v>66.166559123649449</v>
      </c>
      <c r="CU25" s="139">
        <f t="shared" si="35"/>
        <v>70.251164273471389</v>
      </c>
      <c r="CV25" s="139">
        <f t="shared" si="36"/>
        <v>50.012729721822936</v>
      </c>
      <c r="CW25" s="139">
        <f t="shared" si="37"/>
        <v>-16.70147689688509</v>
      </c>
      <c r="CX25" s="139">
        <f>CQ25*'W.F. at Appliance Level'!I25</f>
        <v>80.586741852221266</v>
      </c>
      <c r="CY25" s="139">
        <f>CR25*'W.F. at Appliance Level'!J25</f>
        <v>67.098672876602549</v>
      </c>
      <c r="CZ25" s="139">
        <f>CS25*'W.F. at Appliance Level'!K25+'UCM Services Protected'!CT25*'W.F. at Appliance Level'!L25+'UCM Services Protected'!CU25*'W.F. at Appliance Level'!M25+'UCM Services Protected'!CV25*'W.F. at Appliance Level'!N25+'UCM Services Protected'!CW25*'W.F. at Appliance Level'!O25</f>
        <v>47.536358800075242</v>
      </c>
      <c r="DA25" s="139">
        <f>CX25*'W.F. End-use Level'!Q26+'UCM Services Protected'!CY25*'W.F. End-use Level'!R26+'UCM Services Protected'!CZ25*'W.F. End-use Level'!S26</f>
        <v>50.112725701542196</v>
      </c>
      <c r="DB25" s="167">
        <f>C25/'Utilisation by Sector'!$L$39</f>
        <v>4.6144260817307696</v>
      </c>
      <c r="DC25" s="167">
        <f>D25/'Utilisation by Sector'!$M$39</f>
        <v>12.543982434839693</v>
      </c>
      <c r="DD25" s="167">
        <f>E25/'Utilisation by Sector'!$N$39</f>
        <v>0.69954831932773109</v>
      </c>
      <c r="DE25" s="167">
        <f>F25/'Utilisation by Sector'!$O$39</f>
        <v>17.85488994857992</v>
      </c>
      <c r="DF25" s="167">
        <f>G25/'Utilisation by Sector'!$P$39</f>
        <v>0.69451746323529406</v>
      </c>
      <c r="DG25" s="167">
        <f>H25/'Utilisation by Sector'!$Q$39</f>
        <v>5.8737970330826395</v>
      </c>
      <c r="DH25" s="139">
        <f t="shared" si="38"/>
        <v>70.614426081730755</v>
      </c>
      <c r="DI25" s="139">
        <f t="shared" si="39"/>
        <v>78.543982434839677</v>
      </c>
      <c r="DJ25" s="139">
        <f t="shared" si="40"/>
        <v>66.699548319327718</v>
      </c>
      <c r="DK25" s="139">
        <f t="shared" si="41"/>
        <v>83.85488994857991</v>
      </c>
      <c r="DL25" s="139">
        <f t="shared" si="42"/>
        <v>50.541885884287922</v>
      </c>
      <c r="DM25" s="139">
        <f t="shared" si="43"/>
        <v>-12.226202966917366</v>
      </c>
      <c r="DN25" s="139">
        <f>DH25*'W.F. at Appliance Level'!J25</f>
        <v>70.614426081730755</v>
      </c>
      <c r="DO25" s="139">
        <f>DI25*'W.F. at Appliance Level'!K25+'UCM Services Protected'!DJ25*'W.F. at Appliance Level'!L25+'UCM Services Protected'!DK25*'W.F. at Appliance Level'!M25+'UCM Services Protected'!DL25*'W.F. at Appliance Level'!N25+'UCM Services Protected'!DM25*'W.F. at Appliance Level'!O25</f>
        <v>53.482820724023583</v>
      </c>
      <c r="DP25" s="139">
        <f>DN25*'W.F. End-use Level'!T26+'UCM Services Protected'!DO25*'W.F. End-use Level'!U26</f>
        <v>55.012591132086271</v>
      </c>
      <c r="DQ25" s="134">
        <f>AG25*'W.F. at Subsector Level'!B25+'UCM Services Protected'!AY25*'W.F. at Subsector Level'!C25+'UCM Services Protected'!BQ25*'W.F. at Subsector Level'!D25+'UCM Services Protected'!CI25*'W.F. at Subsector Level'!E25+'UCM Services Protected'!DA25*'W.F. at Subsector Level'!F25+'UCM Services Protected'!DP25*'W.F. at Subsector Level'!G25</f>
        <v>52.370287946778774</v>
      </c>
    </row>
    <row r="26" spans="1:121" ht="15.75" customHeight="1" x14ac:dyDescent="0.3">
      <c r="A26" s="54" t="s">
        <v>24</v>
      </c>
      <c r="B26" s="166">
        <f>'Appliance Prices'!B26</f>
        <v>253663.06116932252</v>
      </c>
      <c r="C26" s="166">
        <f>'Appliance Prices'!C26</f>
        <v>139846.45833333331</v>
      </c>
      <c r="D26" s="166">
        <f>'Appliance Prices'!D26</f>
        <v>175593.64542879278</v>
      </c>
      <c r="E26" s="166">
        <f>'Appliance Prices'!E26</f>
        <v>11613.15</v>
      </c>
      <c r="F26" s="166">
        <f>'Appliance Prices'!F26</f>
        <v>364239.75495103037</v>
      </c>
      <c r="G26" s="166">
        <f>'Appliance Prices'!G26</f>
        <v>36343.079494316153</v>
      </c>
      <c r="H26" s="166">
        <f>'Appliance Prices'!H26</f>
        <v>105171.75608498839</v>
      </c>
      <c r="I26" s="166">
        <f>'Fuel Prices excl. VAT'!B25</f>
        <v>4.2999999999999997E-2</v>
      </c>
      <c r="J26" s="166">
        <f>'Fuel Prices excl. VAT'!D25</f>
        <v>0.23449999999999999</v>
      </c>
      <c r="K26" s="166">
        <f>'Fuel Prices excl. VAT'!F25</f>
        <v>6.9484210526315787E-2</v>
      </c>
      <c r="L26" s="166">
        <f>'Fuel Prices excl. VAT'!H25</f>
        <v>4.8562500000000001E-2</v>
      </c>
      <c r="M26" s="166">
        <f t="shared" si="0"/>
        <v>0.1915</v>
      </c>
      <c r="N26" s="166">
        <f t="shared" si="1"/>
        <v>2.6484210526315791E-2</v>
      </c>
      <c r="O26" s="166">
        <f t="shared" si="2"/>
        <v>5.5625000000000049E-3</v>
      </c>
      <c r="P26" s="166">
        <f>B26/'Utilisation by Sector'!$K$9</f>
        <v>17.421913541849076</v>
      </c>
      <c r="Q26" s="166">
        <f>C26/'Utilisation by Sector'!$L$9</f>
        <v>1.6008065285409032</v>
      </c>
      <c r="R26" s="166">
        <f>D26/'Utilisation by Sector'!$M$9</f>
        <v>2.0100005200182323</v>
      </c>
      <c r="S26" s="166">
        <f>E26/'Utilisation by Sector'!$N$9</f>
        <v>0.29044492797118848</v>
      </c>
      <c r="T26" s="166">
        <f>F26/'Utilisation by Sector'!$O$9</f>
        <v>4.2511642734714092</v>
      </c>
      <c r="U26" s="166">
        <f>G26/'Utilisation by Sector'!$P$9</f>
        <v>0.31812919725416799</v>
      </c>
      <c r="V26" s="166">
        <f>H26/'Utilisation by Sector'!$Q$9</f>
        <v>0.92062111418932413</v>
      </c>
      <c r="W26" s="138">
        <f t="shared" si="3"/>
        <v>208.92191354184908</v>
      </c>
      <c r="X26" s="138">
        <f t="shared" si="4"/>
        <v>193.10080652854091</v>
      </c>
      <c r="Y26" s="138">
        <f t="shared" si="5"/>
        <v>193.51000052001822</v>
      </c>
      <c r="Z26" s="138">
        <f t="shared" si="6"/>
        <v>191.79044492797118</v>
      </c>
      <c r="AA26" s="138">
        <f t="shared" si="7"/>
        <v>195.7511642734714</v>
      </c>
      <c r="AB26" s="138">
        <f t="shared" si="8"/>
        <v>26.802339723569961</v>
      </c>
      <c r="AC26" s="138">
        <f t="shared" si="9"/>
        <v>6.4831211141893297</v>
      </c>
      <c r="AD26" s="138">
        <f>W26*'W.F. at Appliance Level'!I26</f>
        <v>208.92191354184908</v>
      </c>
      <c r="AE26" s="138">
        <f>X26*'W.F. at Appliance Level'!J26</f>
        <v>193.10080652854091</v>
      </c>
      <c r="AF26" s="138">
        <f>Y26*'W.F. at Appliance Level'!K26+'UCM Services Protected'!Z26*'W.F. at Appliance Level'!L26+'UCM Services Protected'!AA26*'W.F. at Appliance Level'!M26+'UCM Services Protected'!AB26*'W.F. at Appliance Level'!N26+'UCM Services Protected'!AC26*'W.F. at Appliance Level'!O26</f>
        <v>122.86741411184401</v>
      </c>
      <c r="AG26" s="138">
        <f>AD26*'W.F. End-use Level'!E27+'UCM Services Protected'!AE26*'W.F. End-use Level'!F27+'UCM Services Protected'!AF26*'W.F. End-use Level'!G27</f>
        <v>133.52580511649512</v>
      </c>
      <c r="AH26" s="166">
        <f>B26/'Utilisation by Sector'!$K$15</f>
        <v>44.502291433214481</v>
      </c>
      <c r="AI26" s="166">
        <f>C26/'Utilisation by Sector'!$L$15</f>
        <v>9.2004248903508756</v>
      </c>
      <c r="AJ26" s="166">
        <f>D26/'Utilisation by Sector'!$M$15</f>
        <v>12.911297457999469</v>
      </c>
      <c r="AK26" s="166">
        <f>E26/'Utilisation by Sector'!$N$15</f>
        <v>1.2198686974789916</v>
      </c>
      <c r="AL26" s="166">
        <f>F26/'Utilisation by Sector'!$O$15</f>
        <v>17.85488994857992</v>
      </c>
      <c r="AM26" s="166">
        <f>G26/'Utilisation by Sector'!$P$15</f>
        <v>1.3361426284675055</v>
      </c>
      <c r="AN26" s="166">
        <f>H26/'Utilisation by Sector'!$Q$15</f>
        <v>3.8666086795951613</v>
      </c>
      <c r="AO26" s="138">
        <f t="shared" si="10"/>
        <v>236.00229143321448</v>
      </c>
      <c r="AP26" s="138">
        <f t="shared" si="11"/>
        <v>200.70042489035089</v>
      </c>
      <c r="AQ26" s="138">
        <f t="shared" si="12"/>
        <v>204.41129745799947</v>
      </c>
      <c r="AR26" s="138">
        <f t="shared" si="13"/>
        <v>192.719868697479</v>
      </c>
      <c r="AS26" s="138">
        <f t="shared" si="14"/>
        <v>209.35488994857991</v>
      </c>
      <c r="AT26" s="138">
        <f t="shared" si="15"/>
        <v>27.820353154783298</v>
      </c>
      <c r="AU26" s="138">
        <f t="shared" si="16"/>
        <v>9.4291086795951671</v>
      </c>
      <c r="AV26" s="138">
        <f>AO26*'W.F. at Appliance Level'!I26</f>
        <v>236.00229143321448</v>
      </c>
      <c r="AW26" s="138">
        <f>AP26*'W.F. at Appliance Level'!J26</f>
        <v>200.70042489035089</v>
      </c>
      <c r="AX26" s="138">
        <f>AQ26*'W.F. at Appliance Level'!K26+'UCM Services Protected'!AR26*'W.F. at Appliance Level'!L26+'UCM Services Protected'!AS26*'W.F. at Appliance Level'!M26+'UCM Services Protected'!AT26*'W.F. at Appliance Level'!N26+'UCM Services Protected'!AU26*'W.F. at Appliance Level'!O26</f>
        <v>128.74710358768738</v>
      </c>
      <c r="AY26" s="138">
        <f>AV26*'W.F. End-use Level'!H27+'UCM Services Protected'!AW26*'W.F. End-use Level'!I27+'UCM Services Protected'!AX26*'W.F. End-use Level'!J27</f>
        <v>139.91604741693632</v>
      </c>
      <c r="AZ26" s="166">
        <f>B26/'Utilisation by Sector'!$K$21</f>
        <v>69.687654167396303</v>
      </c>
      <c r="BA26" s="166">
        <f>C26/'Utilisation by Sector'!$L$21</f>
        <v>1.6008065285409032</v>
      </c>
      <c r="BB26" s="166">
        <f>D26/'Utilisation by Sector'!$M$21</f>
        <v>2.0100005200182323</v>
      </c>
      <c r="BC26" s="166">
        <f>E26/'Utilisation by Sector'!$N$21</f>
        <v>0.29044492797118848</v>
      </c>
      <c r="BD26" s="166">
        <f>F26/'Utilisation by Sector'!$O$21</f>
        <v>4.2511642734714092</v>
      </c>
      <c r="BE26" s="166">
        <f>G26/'Utilisation by Sector'!$P$21</f>
        <v>0.31812919725416799</v>
      </c>
      <c r="BF26" s="166">
        <f>H26/'Utilisation by Sector'!$Q$21</f>
        <v>0.92062111418932413</v>
      </c>
      <c r="BG26" s="138">
        <f t="shared" si="17"/>
        <v>261.18765416739632</v>
      </c>
      <c r="BH26" s="138">
        <f t="shared" si="18"/>
        <v>193.10080652854091</v>
      </c>
      <c r="BI26" s="138">
        <f t="shared" si="19"/>
        <v>193.51000052001822</v>
      </c>
      <c r="BJ26" s="138">
        <f t="shared" si="20"/>
        <v>191.79044492797118</v>
      </c>
      <c r="BK26" s="138">
        <f t="shared" si="21"/>
        <v>195.7511642734714</v>
      </c>
      <c r="BL26" s="138">
        <f t="shared" si="22"/>
        <v>26.802339723569961</v>
      </c>
      <c r="BM26" s="138">
        <f t="shared" si="23"/>
        <v>6.4831211141893297</v>
      </c>
      <c r="BN26" s="138">
        <f>BG26*'W.F. at Appliance Level'!I26</f>
        <v>261.18765416739632</v>
      </c>
      <c r="BO26" s="138">
        <f>BH26*'W.F. at Appliance Level'!J26</f>
        <v>193.10080652854091</v>
      </c>
      <c r="BP26" s="138">
        <f>BI26*'W.F. at Appliance Level'!K26+'UCM Services Protected'!BJ26*'W.F. at Appliance Level'!L26+'UCM Services Protected'!BK26*'W.F. at Appliance Level'!M26+'UCM Services Protected'!BL26*'W.F. at Appliance Level'!N26+'UCM Services Protected'!BM26*'W.F. at Appliance Level'!O26</f>
        <v>122.86741411184401</v>
      </c>
      <c r="BQ26" s="138">
        <f>BN26*'W.F. End-use Level'!K27+'UCM Services Protected'!BO26*'W.F. End-use Level'!L27+'UCM Services Protected'!BP26*'W.F. End-use Level'!M27</f>
        <v>134.20889732547303</v>
      </c>
      <c r="BR26" s="166">
        <f>B26/'Utilisation by Sector'!$K$27</f>
        <v>69.687654167396303</v>
      </c>
      <c r="BS26" s="166">
        <f>C26/'Utilisation by Sector'!$L$27</f>
        <v>1.6008065285409032</v>
      </c>
      <c r="BT26" s="166">
        <f>D26/'Utilisation by Sector'!$M$27</f>
        <v>2.0100005200182323</v>
      </c>
      <c r="BU26" s="166">
        <f>E26/'Utilisation by Sector'!$N$27</f>
        <v>0.29044492797118848</v>
      </c>
      <c r="BV26" s="166">
        <f>F26/'Utilisation by Sector'!$O$27</f>
        <v>4.2511642734714092</v>
      </c>
      <c r="BW26" s="166">
        <f>G26/'Utilisation by Sector'!$P$27</f>
        <v>0.31812919725416799</v>
      </c>
      <c r="BX26" s="166">
        <f>H26/'Utilisation by Sector'!$Q$27</f>
        <v>0.92062111418932413</v>
      </c>
      <c r="BY26" s="138">
        <f t="shared" si="24"/>
        <v>261.18765416739632</v>
      </c>
      <c r="BZ26" s="138">
        <f t="shared" si="25"/>
        <v>193.10080652854091</v>
      </c>
      <c r="CA26" s="138">
        <f t="shared" si="26"/>
        <v>193.51000052001822</v>
      </c>
      <c r="CB26" s="138">
        <f t="shared" si="27"/>
        <v>191.79044492797118</v>
      </c>
      <c r="CC26" s="138">
        <f t="shared" si="28"/>
        <v>195.7511642734714</v>
      </c>
      <c r="CD26" s="138">
        <f t="shared" si="29"/>
        <v>26.802339723569961</v>
      </c>
      <c r="CE26" s="138">
        <f t="shared" si="30"/>
        <v>6.4831211141893297</v>
      </c>
      <c r="CF26" s="138">
        <f>BY26*'W.F. at Appliance Level'!I26</f>
        <v>261.18765416739632</v>
      </c>
      <c r="CG26" s="138">
        <f>BZ26*'W.F. at Appliance Level'!J26</f>
        <v>193.10080652854091</v>
      </c>
      <c r="CH26" s="138">
        <f>CA26*'W.F. at Appliance Level'!K26+'UCM Services Protected'!CB26*'W.F. at Appliance Level'!L26+'UCM Services Protected'!CC26*'W.F. at Appliance Level'!M26+'UCM Services Protected'!CD26*'W.F. at Appliance Level'!N26+'UCM Services Protected'!CE26*'W.F. at Appliance Level'!O26</f>
        <v>122.86741411184401</v>
      </c>
      <c r="CI26" s="138">
        <f>CF26*'W.F. End-use Level'!N27+'UCM Services Protected'!CG26*'W.F. End-use Level'!O27+'UCM Services Protected'!CH26*'W.F. End-use Level'!P27</f>
        <v>134.20889732547303</v>
      </c>
      <c r="CJ26" s="166">
        <f>B26/'Utilisation by Sector'!$K$33</f>
        <v>17.421913541849076</v>
      </c>
      <c r="CK26" s="166">
        <f>C26/'Utilisation by Sector'!$L$33</f>
        <v>1.6008065285409032</v>
      </c>
      <c r="CL26" s="166">
        <f>D26/'Utilisation by Sector'!$M$33</f>
        <v>2.0100005200182323</v>
      </c>
      <c r="CM26" s="166">
        <f>E26/'Utilisation by Sector'!$N$33</f>
        <v>0.29044492797118848</v>
      </c>
      <c r="CN26" s="166">
        <f>F26/'Utilisation by Sector'!$O$33</f>
        <v>4.2511642734714092</v>
      </c>
      <c r="CO26" s="166">
        <f>G26/'Utilisation by Sector'!$P$33</f>
        <v>0.31812919725416799</v>
      </c>
      <c r="CP26" s="166">
        <f>H26/'Utilisation by Sector'!$Q$33</f>
        <v>0.92062111418932413</v>
      </c>
      <c r="CQ26" s="138">
        <f t="shared" si="31"/>
        <v>208.92191354184908</v>
      </c>
      <c r="CR26" s="138">
        <f t="shared" si="32"/>
        <v>193.10080652854091</v>
      </c>
      <c r="CS26" s="138">
        <f t="shared" si="33"/>
        <v>193.51000052001822</v>
      </c>
      <c r="CT26" s="138">
        <f t="shared" si="34"/>
        <v>191.79044492797118</v>
      </c>
      <c r="CU26" s="138">
        <f t="shared" si="35"/>
        <v>195.7511642734714</v>
      </c>
      <c r="CV26" s="138">
        <f t="shared" si="36"/>
        <v>26.802339723569961</v>
      </c>
      <c r="CW26" s="138">
        <f t="shared" si="37"/>
        <v>6.4831211141893297</v>
      </c>
      <c r="CX26" s="138">
        <f>CQ26*'W.F. at Appliance Level'!I26</f>
        <v>208.92191354184908</v>
      </c>
      <c r="CY26" s="138">
        <f>CR26*'W.F. at Appliance Level'!J26</f>
        <v>193.10080652854091</v>
      </c>
      <c r="CZ26" s="138">
        <f>CS26*'W.F. at Appliance Level'!K26+'UCM Services Protected'!CT26*'W.F. at Appliance Level'!L26+'UCM Services Protected'!CU26*'W.F. at Appliance Level'!M26+'UCM Services Protected'!CV26*'W.F. at Appliance Level'!N26+'UCM Services Protected'!CW26*'W.F. at Appliance Level'!O26</f>
        <v>122.86741411184401</v>
      </c>
      <c r="DA26" s="138">
        <f>CX26*'W.F. End-use Level'!Q27+'UCM Services Protected'!CY26*'W.F. End-use Level'!R27+'UCM Services Protected'!CZ26*'W.F. End-use Level'!S27</f>
        <v>133.52580511649512</v>
      </c>
      <c r="DB26" s="166">
        <f>C26/'Utilisation by Sector'!$L$39</f>
        <v>6.723387419871794</v>
      </c>
      <c r="DC26" s="166">
        <f>D26/'Utilisation by Sector'!$M$39</f>
        <v>12.911297457999469</v>
      </c>
      <c r="DD26" s="166">
        <f>E26/'Utilisation by Sector'!$N$39</f>
        <v>1.2198686974789916</v>
      </c>
      <c r="DE26" s="166">
        <f>F26/'Utilisation by Sector'!$O$39</f>
        <v>17.85488994857992</v>
      </c>
      <c r="DF26" s="166">
        <f>G26/'Utilisation by Sector'!$P$39</f>
        <v>1.3361426284675055</v>
      </c>
      <c r="DG26" s="166">
        <f>H26/'Utilisation by Sector'!$Q$39</f>
        <v>3.8666086795951613</v>
      </c>
      <c r="DH26" s="138">
        <f t="shared" si="38"/>
        <v>198.22338741987178</v>
      </c>
      <c r="DI26" s="138">
        <f t="shared" si="39"/>
        <v>204.41129745799947</v>
      </c>
      <c r="DJ26" s="138">
        <f t="shared" si="40"/>
        <v>192.719868697479</v>
      </c>
      <c r="DK26" s="138">
        <f t="shared" si="41"/>
        <v>209.35488994857991</v>
      </c>
      <c r="DL26" s="138">
        <f t="shared" si="42"/>
        <v>27.820353154783298</v>
      </c>
      <c r="DM26" s="138">
        <f t="shared" si="43"/>
        <v>9.4291086795951671</v>
      </c>
      <c r="DN26" s="138">
        <f>DH26*'W.F. at Appliance Level'!J26</f>
        <v>198.22338741987178</v>
      </c>
      <c r="DO26" s="138">
        <f>DI26*'W.F. at Appliance Level'!K26+'UCM Services Protected'!DJ26*'W.F. at Appliance Level'!L26+'UCM Services Protected'!DK26*'W.F. at Appliance Level'!M26+'UCM Services Protected'!DL26*'W.F. at Appliance Level'!N26+'UCM Services Protected'!DM26*'W.F. at Appliance Level'!O26</f>
        <v>128.74710358768738</v>
      </c>
      <c r="DP26" s="138">
        <f>DN26*'W.F. End-use Level'!T27+'UCM Services Protected'!DO26*'W.F. End-use Level'!U27</f>
        <v>138.3029152999305</v>
      </c>
      <c r="DQ26" s="133">
        <f>AG26*'W.F. at Subsector Level'!B26+'UCM Services Protected'!AY26*'W.F. at Subsector Level'!C26+'UCM Services Protected'!BQ26*'W.F. at Subsector Level'!D26+'UCM Services Protected'!CI26*'W.F. at Subsector Level'!E26+'UCM Services Protected'!DA26*'W.F. at Subsector Level'!F26+'UCM Services Protected'!DP26*'W.F. at Subsector Level'!G26</f>
        <v>135.61472793346721</v>
      </c>
    </row>
    <row r="27" spans="1:121" ht="15.75" customHeight="1" x14ac:dyDescent="0.3">
      <c r="A27" s="54" t="s">
        <v>25</v>
      </c>
      <c r="B27" s="167">
        <f>'Appliance Prices'!B27</f>
        <v>168115.18207282899</v>
      </c>
      <c r="C27" s="167">
        <f>'Appliance Prices'!C27</f>
        <v>40340.78787878788</v>
      </c>
      <c r="D27" s="167">
        <f>'Appliance Prices'!D27</f>
        <v>201485.12989174071</v>
      </c>
      <c r="E27" s="167">
        <f>'Appliance Prices'!E27</f>
        <v>20240.3</v>
      </c>
      <c r="F27" s="167">
        <f>'Appliance Prices'!F27</f>
        <v>223463.73181818181</v>
      </c>
      <c r="G27" s="167">
        <f>'Appliance Prices'!G27</f>
        <v>54505.378739316242</v>
      </c>
      <c r="H27" s="167">
        <f>'Appliance Prices'!H27</f>
        <v>167377.81713939452</v>
      </c>
      <c r="I27" s="167">
        <f>'Fuel Prices excl. VAT'!B26</f>
        <v>4.4699999999999997E-2</v>
      </c>
      <c r="J27" s="167">
        <f>'Fuel Prices excl. VAT'!D26</f>
        <v>0.1681</v>
      </c>
      <c r="K27" s="167">
        <f>'Fuel Prices excl. VAT'!F26</f>
        <v>6.9070869533998713E-2</v>
      </c>
      <c r="L27" s="167">
        <f>'Fuel Prices excl. VAT'!H26</f>
        <v>4.718E-2</v>
      </c>
      <c r="M27" s="167">
        <f t="shared" si="0"/>
        <v>0.12340000000000001</v>
      </c>
      <c r="N27" s="167">
        <f t="shared" si="1"/>
        <v>2.4370869533998717E-2</v>
      </c>
      <c r="O27" s="167">
        <f t="shared" si="2"/>
        <v>2.480000000000003E-3</v>
      </c>
      <c r="P27" s="167">
        <f>B27/'Utilisation by Sector'!$K$9</f>
        <v>11.546372395111881</v>
      </c>
      <c r="Q27" s="167">
        <f>C27/'Utilisation by Sector'!$L$9</f>
        <v>0.46177641802641806</v>
      </c>
      <c r="R27" s="167">
        <f>D27/'Utilisation by Sector'!$M$9</f>
        <v>2.3063774026069219</v>
      </c>
      <c r="S27" s="167">
        <f>E27/'Utilisation by Sector'!$N$9</f>
        <v>0.5062099839935974</v>
      </c>
      <c r="T27" s="167">
        <f>F27/'Utilisation by Sector'!$O$9</f>
        <v>2.6081201192598251</v>
      </c>
      <c r="U27" s="167">
        <f>G27/'Utilisation by Sector'!$P$9</f>
        <v>0.47711290913267018</v>
      </c>
      <c r="V27" s="167">
        <f>H27/'Utilisation by Sector'!$Q$9</f>
        <v>1.4651419567524031</v>
      </c>
      <c r="W27" s="139">
        <f t="shared" si="3"/>
        <v>134.94637239511189</v>
      </c>
      <c r="X27" s="139">
        <f t="shared" si="4"/>
        <v>123.86177641802642</v>
      </c>
      <c r="Y27" s="139">
        <f t="shared" si="5"/>
        <v>125.70637740260693</v>
      </c>
      <c r="Z27" s="139">
        <f t="shared" si="6"/>
        <v>123.90620998399361</v>
      </c>
      <c r="AA27" s="139">
        <f t="shared" si="7"/>
        <v>126.00812011925983</v>
      </c>
      <c r="AB27" s="139">
        <f t="shared" si="8"/>
        <v>24.847982443131389</v>
      </c>
      <c r="AC27" s="139">
        <f t="shared" si="9"/>
        <v>3.9451419567524062</v>
      </c>
      <c r="AD27" s="139">
        <f>W27*'W.F. at Appliance Level'!I27</f>
        <v>134.94637239511189</v>
      </c>
      <c r="AE27" s="139">
        <f>X27*'W.F. at Appliance Level'!J27</f>
        <v>123.86177641802642</v>
      </c>
      <c r="AF27" s="139">
        <f>Y27*'W.F. at Appliance Level'!K27+'UCM Services Protected'!Z27*'W.F. at Appliance Level'!L27+'UCM Services Protected'!AA27*'W.F. at Appliance Level'!M27+'UCM Services Protected'!AB27*'W.F. at Appliance Level'!N27+'UCM Services Protected'!AC27*'W.F. at Appliance Level'!O27</f>
        <v>80.882766381148841</v>
      </c>
      <c r="AG27" s="139">
        <f>AD27*'W.F. End-use Level'!E28+'UCM Services Protected'!AE27*'W.F. End-use Level'!F28+'UCM Services Protected'!AF27*'W.F. End-use Level'!G28</f>
        <v>105.16425775076786</v>
      </c>
      <c r="AH27" s="167">
        <f>B27/'Utilisation by Sector'!$K$15</f>
        <v>29.493891591724385</v>
      </c>
      <c r="AI27" s="167">
        <f>C27/'Utilisation by Sector'!$L$15</f>
        <v>2.6539992025518342</v>
      </c>
      <c r="AJ27" s="167">
        <f>D27/'Utilisation by Sector'!$M$15</f>
        <v>14.815083080275052</v>
      </c>
      <c r="AK27" s="167">
        <f>E27/'Utilisation by Sector'!$N$15</f>
        <v>2.1260819327731091</v>
      </c>
      <c r="AL27" s="167">
        <f>F27/'Utilisation by Sector'!$O$15</f>
        <v>10.954104500891265</v>
      </c>
      <c r="AM27" s="167">
        <f>G27/'Utilisation by Sector'!$P$15</f>
        <v>2.0038742183572147</v>
      </c>
      <c r="AN27" s="167">
        <f>H27/'Utilisation by Sector'!$Q$15</f>
        <v>6.153596218360093</v>
      </c>
      <c r="AO27" s="139">
        <f t="shared" si="10"/>
        <v>152.89389159172438</v>
      </c>
      <c r="AP27" s="139">
        <f t="shared" si="11"/>
        <v>126.05399920255184</v>
      </c>
      <c r="AQ27" s="139">
        <f t="shared" si="12"/>
        <v>138.21508308027506</v>
      </c>
      <c r="AR27" s="139">
        <f t="shared" si="13"/>
        <v>125.52608193277311</v>
      </c>
      <c r="AS27" s="139">
        <f t="shared" si="14"/>
        <v>134.35410450089128</v>
      </c>
      <c r="AT27" s="139">
        <f t="shared" si="15"/>
        <v>26.374743752355933</v>
      </c>
      <c r="AU27" s="139">
        <f t="shared" si="16"/>
        <v>8.6335962183600969</v>
      </c>
      <c r="AV27" s="139">
        <f>AO27*'W.F. at Appliance Level'!I27</f>
        <v>152.89389159172438</v>
      </c>
      <c r="AW27" s="139">
        <f>AP27*'W.F. at Appliance Level'!J27</f>
        <v>126.05399920255184</v>
      </c>
      <c r="AX27" s="139">
        <f>AQ27*'W.F. at Appliance Level'!K27+'UCM Services Protected'!AR27*'W.F. at Appliance Level'!L27+'UCM Services Protected'!AS27*'W.F. at Appliance Level'!M27+'UCM Services Protected'!AT27*'W.F. at Appliance Level'!N27+'UCM Services Protected'!AU27*'W.F. at Appliance Level'!O27</f>
        <v>86.620721896931101</v>
      </c>
      <c r="AY27" s="139">
        <f>AV27*'W.F. End-use Level'!H28+'UCM Services Protected'!AW27*'W.F. End-use Level'!I28+'UCM Services Protected'!AX27*'W.F. End-use Level'!J28</f>
        <v>110.71602140349053</v>
      </c>
      <c r="AZ27" s="167">
        <f>B27/'Utilisation by Sector'!$K$21</f>
        <v>46.185489580447523</v>
      </c>
      <c r="BA27" s="167">
        <f>C27/'Utilisation by Sector'!$L$21</f>
        <v>0.46177641802641806</v>
      </c>
      <c r="BB27" s="167">
        <f>D27/'Utilisation by Sector'!$M$21</f>
        <v>2.3063774026069219</v>
      </c>
      <c r="BC27" s="167">
        <f>E27/'Utilisation by Sector'!$N$21</f>
        <v>0.5062099839935974</v>
      </c>
      <c r="BD27" s="167">
        <f>F27/'Utilisation by Sector'!$O$21</f>
        <v>2.6081201192598251</v>
      </c>
      <c r="BE27" s="167">
        <f>G27/'Utilisation by Sector'!$P$21</f>
        <v>0.47711290913267018</v>
      </c>
      <c r="BF27" s="167">
        <f>H27/'Utilisation by Sector'!$Q$21</f>
        <v>1.4651419567524031</v>
      </c>
      <c r="BG27" s="139">
        <f t="shared" si="17"/>
        <v>169.58548958044753</v>
      </c>
      <c r="BH27" s="139">
        <f t="shared" si="18"/>
        <v>123.86177641802642</v>
      </c>
      <c r="BI27" s="139">
        <f t="shared" si="19"/>
        <v>125.70637740260693</v>
      </c>
      <c r="BJ27" s="139">
        <f t="shared" si="20"/>
        <v>123.90620998399361</v>
      </c>
      <c r="BK27" s="139">
        <f t="shared" si="21"/>
        <v>126.00812011925983</v>
      </c>
      <c r="BL27" s="139">
        <f t="shared" si="22"/>
        <v>24.847982443131389</v>
      </c>
      <c r="BM27" s="139">
        <f t="shared" si="23"/>
        <v>3.9451419567524062</v>
      </c>
      <c r="BN27" s="139">
        <f>BG27*'W.F. at Appliance Level'!I27</f>
        <v>169.58548958044753</v>
      </c>
      <c r="BO27" s="139">
        <f>BH27*'W.F. at Appliance Level'!J27</f>
        <v>123.86177641802642</v>
      </c>
      <c r="BP27" s="139">
        <f>BI27*'W.F. at Appliance Level'!K27+'UCM Services Protected'!BJ27*'W.F. at Appliance Level'!L27+'UCM Services Protected'!BK27*'W.F. at Appliance Level'!M27+'UCM Services Protected'!BL27*'W.F. at Appliance Level'!N27+'UCM Services Protected'!BM27*'W.F. at Appliance Level'!O27</f>
        <v>80.882766381148841</v>
      </c>
      <c r="BQ27" s="139">
        <f>BN27*'W.F. End-use Level'!K28+'UCM Services Protected'!BO27*'W.F. End-use Level'!L28+'UCM Services Protected'!BP27*'W.F. End-use Level'!M28</f>
        <v>108.93993508591919</v>
      </c>
      <c r="BR27" s="167">
        <f>B27/'Utilisation by Sector'!$K$27</f>
        <v>46.185489580447523</v>
      </c>
      <c r="BS27" s="167">
        <f>C27/'Utilisation by Sector'!$L$27</f>
        <v>0.46177641802641806</v>
      </c>
      <c r="BT27" s="167">
        <f>D27/'Utilisation by Sector'!$M$27</f>
        <v>2.3063774026069219</v>
      </c>
      <c r="BU27" s="167">
        <f>E27/'Utilisation by Sector'!$N$27</f>
        <v>0.5062099839935974</v>
      </c>
      <c r="BV27" s="167">
        <f>F27/'Utilisation by Sector'!$O$27</f>
        <v>2.6081201192598251</v>
      </c>
      <c r="BW27" s="167">
        <f>G27/'Utilisation by Sector'!$P$27</f>
        <v>0.47711290913267018</v>
      </c>
      <c r="BX27" s="167">
        <f>H27/'Utilisation by Sector'!$Q$27</f>
        <v>1.4651419567524031</v>
      </c>
      <c r="BY27" s="139">
        <f t="shared" si="24"/>
        <v>169.58548958044753</v>
      </c>
      <c r="BZ27" s="139">
        <f t="shared" si="25"/>
        <v>123.86177641802642</v>
      </c>
      <c r="CA27" s="139">
        <f t="shared" si="26"/>
        <v>125.70637740260693</v>
      </c>
      <c r="CB27" s="139">
        <f t="shared" si="27"/>
        <v>123.90620998399361</v>
      </c>
      <c r="CC27" s="139">
        <f t="shared" si="28"/>
        <v>126.00812011925983</v>
      </c>
      <c r="CD27" s="139">
        <f t="shared" si="29"/>
        <v>24.847982443131389</v>
      </c>
      <c r="CE27" s="139">
        <f t="shared" si="30"/>
        <v>3.9451419567524062</v>
      </c>
      <c r="CF27" s="139">
        <f>BY27*'W.F. at Appliance Level'!I27</f>
        <v>169.58548958044753</v>
      </c>
      <c r="CG27" s="139">
        <f>BZ27*'W.F. at Appliance Level'!J27</f>
        <v>123.86177641802642</v>
      </c>
      <c r="CH27" s="139">
        <f>CA27*'W.F. at Appliance Level'!K27+'UCM Services Protected'!CB27*'W.F. at Appliance Level'!L27+'UCM Services Protected'!CC27*'W.F. at Appliance Level'!M27+'UCM Services Protected'!CD27*'W.F. at Appliance Level'!N27+'UCM Services Protected'!CE27*'W.F. at Appliance Level'!O27</f>
        <v>80.882766381148841</v>
      </c>
      <c r="CI27" s="139">
        <f>CF27*'W.F. End-use Level'!N28+'UCM Services Protected'!CG27*'W.F. End-use Level'!O28+'UCM Services Protected'!CH27*'W.F. End-use Level'!P28</f>
        <v>108.93993508591919</v>
      </c>
      <c r="CJ27" s="167">
        <f>B27/'Utilisation by Sector'!$K$33</f>
        <v>11.546372395111881</v>
      </c>
      <c r="CK27" s="167">
        <f>C27/'Utilisation by Sector'!$L$33</f>
        <v>0.46177641802641806</v>
      </c>
      <c r="CL27" s="167">
        <f>D27/'Utilisation by Sector'!$M$33</f>
        <v>2.3063774026069219</v>
      </c>
      <c r="CM27" s="167">
        <f>E27/'Utilisation by Sector'!$N$33</f>
        <v>0.5062099839935974</v>
      </c>
      <c r="CN27" s="167">
        <f>F27/'Utilisation by Sector'!$O$33</f>
        <v>2.6081201192598251</v>
      </c>
      <c r="CO27" s="167">
        <f>G27/'Utilisation by Sector'!$P$33</f>
        <v>0.47711290913267018</v>
      </c>
      <c r="CP27" s="167">
        <f>H27/'Utilisation by Sector'!$Q$33</f>
        <v>1.4651419567524031</v>
      </c>
      <c r="CQ27" s="139">
        <f t="shared" si="31"/>
        <v>134.94637239511189</v>
      </c>
      <c r="CR27" s="139">
        <f t="shared" si="32"/>
        <v>123.86177641802642</v>
      </c>
      <c r="CS27" s="139">
        <f t="shared" si="33"/>
        <v>125.70637740260693</v>
      </c>
      <c r="CT27" s="139">
        <f t="shared" si="34"/>
        <v>123.90620998399361</v>
      </c>
      <c r="CU27" s="139">
        <f t="shared" si="35"/>
        <v>126.00812011925983</v>
      </c>
      <c r="CV27" s="139">
        <f t="shared" si="36"/>
        <v>24.847982443131389</v>
      </c>
      <c r="CW27" s="139">
        <f t="shared" si="37"/>
        <v>3.9451419567524062</v>
      </c>
      <c r="CX27" s="139">
        <f>CQ27*'W.F. at Appliance Level'!I27</f>
        <v>134.94637239511189</v>
      </c>
      <c r="CY27" s="139">
        <f>CR27*'W.F. at Appliance Level'!J27</f>
        <v>123.86177641802642</v>
      </c>
      <c r="CZ27" s="139">
        <f>CS27*'W.F. at Appliance Level'!K27+'UCM Services Protected'!CT27*'W.F. at Appliance Level'!L27+'UCM Services Protected'!CU27*'W.F. at Appliance Level'!M27+'UCM Services Protected'!CV27*'W.F. at Appliance Level'!N27+'UCM Services Protected'!CW27*'W.F. at Appliance Level'!O27</f>
        <v>80.882766381148841</v>
      </c>
      <c r="DA27" s="139">
        <f>CX27*'W.F. End-use Level'!Q28+'UCM Services Protected'!CY27*'W.F. End-use Level'!R28+'UCM Services Protected'!CZ27*'W.F. End-use Level'!S28</f>
        <v>105.16425775076786</v>
      </c>
      <c r="DB27" s="167">
        <f>C27/'Utilisation by Sector'!$L$39</f>
        <v>1.9394609557109557</v>
      </c>
      <c r="DC27" s="167">
        <f>D27/'Utilisation by Sector'!$M$39</f>
        <v>14.815083080275052</v>
      </c>
      <c r="DD27" s="167">
        <f>E27/'Utilisation by Sector'!$N$39</f>
        <v>2.1260819327731091</v>
      </c>
      <c r="DE27" s="167">
        <f>F27/'Utilisation by Sector'!$O$39</f>
        <v>10.954104500891265</v>
      </c>
      <c r="DF27" s="167">
        <f>G27/'Utilisation by Sector'!$P$39</f>
        <v>2.0038742183572147</v>
      </c>
      <c r="DG27" s="167">
        <f>H27/'Utilisation by Sector'!$Q$39</f>
        <v>6.153596218360093</v>
      </c>
      <c r="DH27" s="139">
        <f t="shared" si="38"/>
        <v>125.33946095571096</v>
      </c>
      <c r="DI27" s="139">
        <f t="shared" si="39"/>
        <v>138.21508308027506</v>
      </c>
      <c r="DJ27" s="139">
        <f t="shared" si="40"/>
        <v>125.52608193277311</v>
      </c>
      <c r="DK27" s="139">
        <f t="shared" si="41"/>
        <v>134.35410450089128</v>
      </c>
      <c r="DL27" s="139">
        <f t="shared" si="42"/>
        <v>26.374743752355933</v>
      </c>
      <c r="DM27" s="139">
        <f t="shared" si="43"/>
        <v>8.6335962183600969</v>
      </c>
      <c r="DN27" s="139">
        <f>DH27*'W.F. at Appliance Level'!J27</f>
        <v>125.33946095571096</v>
      </c>
      <c r="DO27" s="139">
        <f>DI27*'W.F. at Appliance Level'!K27+'UCM Services Protected'!DJ27*'W.F. at Appliance Level'!L27+'UCM Services Protected'!DK27*'W.F. at Appliance Level'!M27+'UCM Services Protected'!DL27*'W.F. at Appliance Level'!N27+'UCM Services Protected'!DM27*'W.F. at Appliance Level'!O27</f>
        <v>86.620721896931101</v>
      </c>
      <c r="DP27" s="139">
        <f>DN27*'W.F. End-use Level'!T28+'UCM Services Protected'!DO27*'W.F. End-use Level'!U28</f>
        <v>105.21307957349293</v>
      </c>
      <c r="DQ27" s="134">
        <f>AG27*'W.F. at Subsector Level'!B27+'UCM Services Protected'!AY27*'W.F. at Subsector Level'!C27+'UCM Services Protected'!BQ27*'W.F. at Subsector Level'!D27+'UCM Services Protected'!CI27*'W.F. at Subsector Level'!E27+'UCM Services Protected'!DA27*'W.F. at Subsector Level'!F27+'UCM Services Protected'!DP27*'W.F. at Subsector Level'!G27</f>
        <v>107.35624777505961</v>
      </c>
    </row>
    <row r="28" spans="1:121" ht="15.75" customHeight="1" x14ac:dyDescent="0.3">
      <c r="A28" s="54" t="s">
        <v>26</v>
      </c>
      <c r="B28" s="166">
        <f>'Appliance Prices'!B28</f>
        <v>185859.93421878715</v>
      </c>
      <c r="C28" s="166">
        <f>'Appliance Prices'!C28</f>
        <v>17499.418181818182</v>
      </c>
      <c r="D28" s="166">
        <f>'Appliance Prices'!D28</f>
        <v>165877.1308768552</v>
      </c>
      <c r="E28" s="166">
        <f>'Appliance Prices'!E28</f>
        <v>11160.04</v>
      </c>
      <c r="F28" s="166">
        <f>'Appliance Prices'!F28</f>
        <v>364239.75495103037</v>
      </c>
      <c r="G28" s="166">
        <f>'Appliance Prices'!G28</f>
        <v>36343.079494316153</v>
      </c>
      <c r="H28" s="166">
        <f>'Appliance Prices'!H28</f>
        <v>159344.35956200663</v>
      </c>
      <c r="I28" s="166">
        <f>'Fuel Prices excl. VAT'!B27</f>
        <v>3.8699999999999998E-2</v>
      </c>
      <c r="J28" s="166">
        <f>'Fuel Prices excl. VAT'!D27</f>
        <v>0.14949999999999999</v>
      </c>
      <c r="K28" s="166">
        <f>'Fuel Prices excl. VAT'!F27</f>
        <v>6.7473684210526311E-2</v>
      </c>
      <c r="L28" s="166">
        <f>'Fuel Prices excl. VAT'!H27</f>
        <v>4.4999999999999998E-2</v>
      </c>
      <c r="M28" s="166">
        <f t="shared" si="0"/>
        <v>0.1108</v>
      </c>
      <c r="N28" s="166">
        <f t="shared" si="1"/>
        <v>2.8773684210526312E-2</v>
      </c>
      <c r="O28" s="166">
        <f t="shared" si="2"/>
        <v>6.3E-3</v>
      </c>
      <c r="P28" s="166">
        <f>B28/'Utilisation by Sector'!$K$9</f>
        <v>12.765105372169447</v>
      </c>
      <c r="Q28" s="166">
        <f>C28/'Utilisation by Sector'!$L$9</f>
        <v>0.20031385281385283</v>
      </c>
      <c r="R28" s="166">
        <f>D28/'Utilisation by Sector'!$M$9</f>
        <v>1.8987766812826832</v>
      </c>
      <c r="S28" s="166">
        <f>E28/'Utilisation by Sector'!$N$9</f>
        <v>0.27911264505802325</v>
      </c>
      <c r="T28" s="166">
        <f>F28/'Utilisation by Sector'!$O$9</f>
        <v>4.2511642734714092</v>
      </c>
      <c r="U28" s="166">
        <f>G28/'Utilisation by Sector'!$P$9</f>
        <v>0.31812919725416799</v>
      </c>
      <c r="V28" s="166">
        <f>H28/'Utilisation by Sector'!$Q$9</f>
        <v>1.394821074597397</v>
      </c>
      <c r="W28" s="138">
        <f t="shared" si="3"/>
        <v>123.56510537216944</v>
      </c>
      <c r="X28" s="138">
        <f t="shared" si="4"/>
        <v>111.00031385281385</v>
      </c>
      <c r="Y28" s="138">
        <f t="shared" si="5"/>
        <v>112.69877668128268</v>
      </c>
      <c r="Z28" s="138">
        <f t="shared" si="6"/>
        <v>111.07911264505802</v>
      </c>
      <c r="AA28" s="138">
        <f t="shared" si="7"/>
        <v>115.0511642734714</v>
      </c>
      <c r="AB28" s="138">
        <f t="shared" si="8"/>
        <v>29.091813407780482</v>
      </c>
      <c r="AC28" s="138">
        <f t="shared" si="9"/>
        <v>7.6948210745973968</v>
      </c>
      <c r="AD28" s="138">
        <f>W28*'W.F. at Appliance Level'!I28</f>
        <v>123.56510537216944</v>
      </c>
      <c r="AE28" s="138">
        <f>X28*'W.F. at Appliance Level'!J28</f>
        <v>111.00031385281385</v>
      </c>
      <c r="AF28" s="138">
        <f>Y28*'W.F. at Appliance Level'!K28+'UCM Services Protected'!Z28*'W.F. at Appliance Level'!L28+'UCM Services Protected'!AA28*'W.F. at Appliance Level'!M28+'UCM Services Protected'!AB28*'W.F. at Appliance Level'!N28+'UCM Services Protected'!AC28*'W.F. at Appliance Level'!O28</f>
        <v>75.123137616437987</v>
      </c>
      <c r="AG28" s="138">
        <f>AD28*'W.F. End-use Level'!E29+'UCM Services Protected'!AE28*'W.F. End-use Level'!F29+'UCM Services Protected'!AF28*'W.F. End-use Level'!G29</f>
        <v>90.817499814867261</v>
      </c>
      <c r="AH28" s="166">
        <f>B28/'Utilisation by Sector'!$K$15</f>
        <v>32.607006003295993</v>
      </c>
      <c r="AI28" s="166">
        <f>C28/'Utilisation by Sector'!$L$15</f>
        <v>1.1512775119617225</v>
      </c>
      <c r="AJ28" s="166">
        <f>D28/'Utilisation by Sector'!$M$15</f>
        <v>12.196847858592294</v>
      </c>
      <c r="AK28" s="166">
        <f>E28/'Utilisation by Sector'!$N$15</f>
        <v>1.1722731092436975</v>
      </c>
      <c r="AL28" s="166">
        <f>F28/'Utilisation by Sector'!$O$15</f>
        <v>17.85488994857992</v>
      </c>
      <c r="AM28" s="166">
        <f>G28/'Utilisation by Sector'!$P$15</f>
        <v>1.3361426284675055</v>
      </c>
      <c r="AN28" s="166">
        <f>H28/'Utilisation by Sector'!$Q$15</f>
        <v>5.8582485133090678</v>
      </c>
      <c r="AO28" s="138">
        <f t="shared" si="10"/>
        <v>143.40700600329598</v>
      </c>
      <c r="AP28" s="138">
        <f t="shared" si="11"/>
        <v>111.95127751196172</v>
      </c>
      <c r="AQ28" s="138">
        <f t="shared" si="12"/>
        <v>122.99684785859229</v>
      </c>
      <c r="AR28" s="138">
        <f t="shared" si="13"/>
        <v>111.9722731092437</v>
      </c>
      <c r="AS28" s="138">
        <f t="shared" si="14"/>
        <v>128.65488994857992</v>
      </c>
      <c r="AT28" s="138">
        <f t="shared" si="15"/>
        <v>30.109826838993818</v>
      </c>
      <c r="AU28" s="138">
        <f t="shared" si="16"/>
        <v>12.158248513309069</v>
      </c>
      <c r="AV28" s="138">
        <f>AO28*'W.F. at Appliance Level'!I28</f>
        <v>143.40700600329598</v>
      </c>
      <c r="AW28" s="138">
        <f>AP28*'W.F. at Appliance Level'!J28</f>
        <v>111.95127751196172</v>
      </c>
      <c r="AX28" s="138">
        <f>AQ28*'W.F. at Appliance Level'!K28+'UCM Services Protected'!AR28*'W.F. at Appliance Level'!L28+'UCM Services Protected'!AS28*'W.F. at Appliance Level'!M28+'UCM Services Protected'!AT28*'W.F. at Appliance Level'!N28+'UCM Services Protected'!AU28*'W.F. at Appliance Level'!O28</f>
        <v>81.17841725374376</v>
      </c>
      <c r="AY28" s="138">
        <f>AV28*'W.F. End-use Level'!H29+'UCM Services Protected'!AW28*'W.F. End-use Level'!I29+'UCM Services Protected'!AX28*'W.F. End-use Level'!J29</f>
        <v>99.623911021476715</v>
      </c>
      <c r="AZ28" s="166">
        <f>B28/'Utilisation by Sector'!$K$21</f>
        <v>51.06042148867779</v>
      </c>
      <c r="BA28" s="166">
        <f>C28/'Utilisation by Sector'!$L$21</f>
        <v>0.20031385281385283</v>
      </c>
      <c r="BB28" s="166">
        <f>D28/'Utilisation by Sector'!$M$21</f>
        <v>1.8987766812826832</v>
      </c>
      <c r="BC28" s="166">
        <f>E28/'Utilisation by Sector'!$N$21</f>
        <v>0.27911264505802325</v>
      </c>
      <c r="BD28" s="166">
        <f>F28/'Utilisation by Sector'!$O$21</f>
        <v>4.2511642734714092</v>
      </c>
      <c r="BE28" s="166">
        <f>G28/'Utilisation by Sector'!$P$21</f>
        <v>0.31812919725416799</v>
      </c>
      <c r="BF28" s="166">
        <f>H28/'Utilisation by Sector'!$Q$21</f>
        <v>1.394821074597397</v>
      </c>
      <c r="BG28" s="138">
        <f t="shared" si="17"/>
        <v>161.86042148867779</v>
      </c>
      <c r="BH28" s="138">
        <f t="shared" si="18"/>
        <v>111.00031385281385</v>
      </c>
      <c r="BI28" s="138">
        <f t="shared" si="19"/>
        <v>112.69877668128268</v>
      </c>
      <c r="BJ28" s="138">
        <f t="shared" si="20"/>
        <v>111.07911264505802</v>
      </c>
      <c r="BK28" s="138">
        <f t="shared" si="21"/>
        <v>115.0511642734714</v>
      </c>
      <c r="BL28" s="138">
        <f t="shared" si="22"/>
        <v>29.091813407780482</v>
      </c>
      <c r="BM28" s="138">
        <f t="shared" si="23"/>
        <v>7.6948210745973968</v>
      </c>
      <c r="BN28" s="138">
        <f>BG28*'W.F. at Appliance Level'!I28</f>
        <v>161.86042148867779</v>
      </c>
      <c r="BO28" s="138">
        <f>BH28*'W.F. at Appliance Level'!J28</f>
        <v>111.00031385281385</v>
      </c>
      <c r="BP28" s="138">
        <f>BI28*'W.F. at Appliance Level'!K28+'UCM Services Protected'!BJ28*'W.F. at Appliance Level'!L28+'UCM Services Protected'!BK28*'W.F. at Appliance Level'!M28+'UCM Services Protected'!BL28*'W.F. at Appliance Level'!N28+'UCM Services Protected'!BM28*'W.F. at Appliance Level'!O28</f>
        <v>75.123137616437987</v>
      </c>
      <c r="BQ28" s="138">
        <f>BN28*'W.F. End-use Level'!K29+'UCM Services Protected'!BO28*'W.F. End-use Level'!L29+'UCM Services Protected'!BP28*'W.F. End-use Level'!M29</f>
        <v>100.0475368454606</v>
      </c>
      <c r="BR28" s="166">
        <f>B28/'Utilisation by Sector'!$K$27</f>
        <v>51.06042148867779</v>
      </c>
      <c r="BS28" s="166">
        <f>C28/'Utilisation by Sector'!$L$27</f>
        <v>0.20031385281385283</v>
      </c>
      <c r="BT28" s="166">
        <f>D28/'Utilisation by Sector'!$M$27</f>
        <v>1.8987766812826832</v>
      </c>
      <c r="BU28" s="166">
        <f>E28/'Utilisation by Sector'!$N$27</f>
        <v>0.27911264505802325</v>
      </c>
      <c r="BV28" s="166">
        <f>F28/'Utilisation by Sector'!$O$27</f>
        <v>4.2511642734714092</v>
      </c>
      <c r="BW28" s="166">
        <f>G28/'Utilisation by Sector'!$P$27</f>
        <v>0.31812919725416799</v>
      </c>
      <c r="BX28" s="166">
        <f>H28/'Utilisation by Sector'!$Q$27</f>
        <v>1.394821074597397</v>
      </c>
      <c r="BY28" s="138">
        <f t="shared" si="24"/>
        <v>161.86042148867779</v>
      </c>
      <c r="BZ28" s="138">
        <f t="shared" si="25"/>
        <v>111.00031385281385</v>
      </c>
      <c r="CA28" s="138">
        <f t="shared" si="26"/>
        <v>112.69877668128268</v>
      </c>
      <c r="CB28" s="138">
        <f t="shared" si="27"/>
        <v>111.07911264505802</v>
      </c>
      <c r="CC28" s="138">
        <f t="shared" si="28"/>
        <v>115.0511642734714</v>
      </c>
      <c r="CD28" s="138">
        <f t="shared" si="29"/>
        <v>29.091813407780482</v>
      </c>
      <c r="CE28" s="138">
        <f t="shared" si="30"/>
        <v>7.6948210745973968</v>
      </c>
      <c r="CF28" s="138">
        <f>BY28*'W.F. at Appliance Level'!I28</f>
        <v>161.86042148867779</v>
      </c>
      <c r="CG28" s="138">
        <f>BZ28*'W.F. at Appliance Level'!J28</f>
        <v>111.00031385281385</v>
      </c>
      <c r="CH28" s="138">
        <f>CA28*'W.F. at Appliance Level'!K28+'UCM Services Protected'!CB28*'W.F. at Appliance Level'!L28+'UCM Services Protected'!CC28*'W.F. at Appliance Level'!M28+'UCM Services Protected'!CD28*'W.F. at Appliance Level'!N28+'UCM Services Protected'!CE28*'W.F. at Appliance Level'!O28</f>
        <v>75.123137616437987</v>
      </c>
      <c r="CI28" s="138">
        <f>CF28*'W.F. End-use Level'!N29+'UCM Services Protected'!CG28*'W.F. End-use Level'!O29+'UCM Services Protected'!CH28*'W.F. End-use Level'!P29</f>
        <v>100.0475368454606</v>
      </c>
      <c r="CJ28" s="166">
        <f>B28/'Utilisation by Sector'!$K$33</f>
        <v>12.765105372169447</v>
      </c>
      <c r="CK28" s="166">
        <f>C28/'Utilisation by Sector'!$L$33</f>
        <v>0.20031385281385283</v>
      </c>
      <c r="CL28" s="166">
        <f>D28/'Utilisation by Sector'!$M$33</f>
        <v>1.8987766812826832</v>
      </c>
      <c r="CM28" s="166">
        <f>E28/'Utilisation by Sector'!$N$33</f>
        <v>0.27911264505802325</v>
      </c>
      <c r="CN28" s="166">
        <f>F28/'Utilisation by Sector'!$O$33</f>
        <v>4.2511642734714092</v>
      </c>
      <c r="CO28" s="166">
        <f>G28/'Utilisation by Sector'!$P$33</f>
        <v>0.31812919725416799</v>
      </c>
      <c r="CP28" s="166">
        <f>H28/'Utilisation by Sector'!$Q$33</f>
        <v>1.394821074597397</v>
      </c>
      <c r="CQ28" s="138">
        <f t="shared" si="31"/>
        <v>123.56510537216944</v>
      </c>
      <c r="CR28" s="138">
        <f t="shared" si="32"/>
        <v>111.00031385281385</v>
      </c>
      <c r="CS28" s="138">
        <f t="shared" si="33"/>
        <v>112.69877668128268</v>
      </c>
      <c r="CT28" s="138">
        <f t="shared" si="34"/>
        <v>111.07911264505802</v>
      </c>
      <c r="CU28" s="138">
        <f t="shared" si="35"/>
        <v>115.0511642734714</v>
      </c>
      <c r="CV28" s="138">
        <f t="shared" si="36"/>
        <v>29.091813407780482</v>
      </c>
      <c r="CW28" s="138">
        <f t="shared" si="37"/>
        <v>7.6948210745973968</v>
      </c>
      <c r="CX28" s="138">
        <f>CQ28*'W.F. at Appliance Level'!I28</f>
        <v>123.56510537216944</v>
      </c>
      <c r="CY28" s="138">
        <f>CR28*'W.F. at Appliance Level'!J28</f>
        <v>111.00031385281385</v>
      </c>
      <c r="CZ28" s="138">
        <f>CS28*'W.F. at Appliance Level'!K28+'UCM Services Protected'!CT28*'W.F. at Appliance Level'!L28+'UCM Services Protected'!CU28*'W.F. at Appliance Level'!M28+'UCM Services Protected'!CV28*'W.F. at Appliance Level'!N28+'UCM Services Protected'!CW28*'W.F. at Appliance Level'!O28</f>
        <v>75.123137616437987</v>
      </c>
      <c r="DA28" s="138">
        <f>CX28*'W.F. End-use Level'!Q29+'UCM Services Protected'!CY28*'W.F. End-use Level'!R29+'UCM Services Protected'!CZ28*'W.F. End-use Level'!S29</f>
        <v>90.817499814867261</v>
      </c>
      <c r="DB28" s="166">
        <f>C28/'Utilisation by Sector'!$L$39</f>
        <v>0.84131818181818185</v>
      </c>
      <c r="DC28" s="166">
        <f>D28/'Utilisation by Sector'!$M$39</f>
        <v>12.196847858592294</v>
      </c>
      <c r="DD28" s="166">
        <f>E28/'Utilisation by Sector'!$N$39</f>
        <v>1.1722731092436975</v>
      </c>
      <c r="DE28" s="166">
        <f>F28/'Utilisation by Sector'!$O$39</f>
        <v>17.85488994857992</v>
      </c>
      <c r="DF28" s="166">
        <f>G28/'Utilisation by Sector'!$P$39</f>
        <v>1.3361426284675055</v>
      </c>
      <c r="DG28" s="166">
        <f>H28/'Utilisation by Sector'!$Q$39</f>
        <v>5.8582485133090678</v>
      </c>
      <c r="DH28" s="138">
        <f t="shared" si="38"/>
        <v>111.64131818181818</v>
      </c>
      <c r="DI28" s="138">
        <f t="shared" si="39"/>
        <v>122.99684785859229</v>
      </c>
      <c r="DJ28" s="138">
        <f t="shared" si="40"/>
        <v>111.9722731092437</v>
      </c>
      <c r="DK28" s="138">
        <f t="shared" si="41"/>
        <v>128.65488994857992</v>
      </c>
      <c r="DL28" s="138">
        <f t="shared" si="42"/>
        <v>30.109826838993818</v>
      </c>
      <c r="DM28" s="138">
        <f t="shared" si="43"/>
        <v>12.158248513309069</v>
      </c>
      <c r="DN28" s="138">
        <f>DH28*'W.F. at Appliance Level'!J28</f>
        <v>111.64131818181818</v>
      </c>
      <c r="DO28" s="138">
        <f>DI28*'W.F. at Appliance Level'!K28+'UCM Services Protected'!DJ28*'W.F. at Appliance Level'!L28+'UCM Services Protected'!DK28*'W.F. at Appliance Level'!M28+'UCM Services Protected'!DL28*'W.F. at Appliance Level'!N28+'UCM Services Protected'!DM28*'W.F. at Appliance Level'!O28</f>
        <v>81.17841725374376</v>
      </c>
      <c r="DP28" s="138">
        <f>DN28*'W.F. End-use Level'!T29+'UCM Services Protected'!DO28*'W.F. End-use Level'!U29</f>
        <v>85.674304890714239</v>
      </c>
      <c r="DQ28" s="133">
        <f>AG28*'W.F. at Subsector Level'!B28+'UCM Services Protected'!AY28*'W.F. at Subsector Level'!C28+'UCM Services Protected'!BQ28*'W.F. at Subsector Level'!D28+'UCM Services Protected'!CI28*'W.F. at Subsector Level'!E28+'UCM Services Protected'!DA28*'W.F. at Subsector Level'!F28+'UCM Services Protected'!DP28*'W.F. at Subsector Level'!G28</f>
        <v>94.504714872141136</v>
      </c>
    </row>
    <row r="29" spans="1:121" ht="15.75" customHeight="1" x14ac:dyDescent="0.3">
      <c r="A29" s="54" t="s">
        <v>27</v>
      </c>
      <c r="B29" s="167">
        <f>'Appliance Prices'!B29</f>
        <v>176567.86463454607</v>
      </c>
      <c r="C29" s="167">
        <f>'Appliance Prices'!C29</f>
        <v>46917.125</v>
      </c>
      <c r="D29" s="167">
        <f>'Appliance Prices'!D29</f>
        <v>266351.91505498672</v>
      </c>
      <c r="E29" s="167">
        <f>'Appliance Prices'!E29</f>
        <v>17933.14</v>
      </c>
      <c r="F29" s="167">
        <f>'Appliance Prices'!F29</f>
        <v>408342.8571428571</v>
      </c>
      <c r="G29" s="167">
        <f>'Appliance Prices'!G29</f>
        <v>43428.846153846149</v>
      </c>
      <c r="H29" s="167">
        <f>'Appliance Prices'!H29</f>
        <v>190333.50874999998</v>
      </c>
      <c r="I29" s="167">
        <f>'Fuel Prices excl. VAT'!B28</f>
        <v>5.57E-2</v>
      </c>
      <c r="J29" s="167">
        <f>'Fuel Prices excl. VAT'!D28</f>
        <v>0.2031</v>
      </c>
      <c r="K29" s="167">
        <f>'Fuel Prices excl. VAT'!F28</f>
        <v>7.2763157894736849E-2</v>
      </c>
      <c r="L29" s="167">
        <f>'Fuel Prices excl. VAT'!H28</f>
        <v>5.5562500000000001E-2</v>
      </c>
      <c r="M29" s="167">
        <f t="shared" si="0"/>
        <v>0.1474</v>
      </c>
      <c r="N29" s="167">
        <f t="shared" si="1"/>
        <v>1.706315789473685E-2</v>
      </c>
      <c r="O29" s="167">
        <f t="shared" si="2"/>
        <v>-1.3749999999999873E-4</v>
      </c>
      <c r="P29" s="167">
        <f>B29/'Utilisation by Sector'!$K$9</f>
        <v>12.126913779845196</v>
      </c>
      <c r="Q29" s="167">
        <f>C29/'Utilisation by Sector'!$L$9</f>
        <v>0.5370550022893773</v>
      </c>
      <c r="R29" s="167">
        <f>D29/'Utilisation by Sector'!$M$9</f>
        <v>3.0489001265451776</v>
      </c>
      <c r="S29" s="167">
        <f>E29/'Utilisation by Sector'!$N$9</f>
        <v>0.44850790316126449</v>
      </c>
      <c r="T29" s="167">
        <f>F29/'Utilisation by Sector'!$O$9</f>
        <v>4.7659063625450173</v>
      </c>
      <c r="U29" s="167">
        <f>G29/'Utilisation by Sector'!$P$9</f>
        <v>0.38015446563240679</v>
      </c>
      <c r="V29" s="167">
        <f>H29/'Utilisation by Sector'!$Q$9</f>
        <v>1.6660846354166665</v>
      </c>
      <c r="W29" s="139">
        <f t="shared" si="3"/>
        <v>159.52691377984519</v>
      </c>
      <c r="X29" s="139">
        <f t="shared" si="4"/>
        <v>147.93705500228938</v>
      </c>
      <c r="Y29" s="139">
        <f t="shared" si="5"/>
        <v>150.4489001265452</v>
      </c>
      <c r="Z29" s="139">
        <f t="shared" si="6"/>
        <v>147.84850790316128</v>
      </c>
      <c r="AA29" s="139">
        <f t="shared" si="7"/>
        <v>152.16590636254503</v>
      </c>
      <c r="AB29" s="139">
        <f t="shared" si="8"/>
        <v>17.443312360369259</v>
      </c>
      <c r="AC29" s="139">
        <f t="shared" si="9"/>
        <v>1.5285846354166677</v>
      </c>
      <c r="AD29" s="139">
        <f>W29*'W.F. at Appliance Level'!I29</f>
        <v>159.52691377984519</v>
      </c>
      <c r="AE29" s="139">
        <f>X29*'W.F. at Appliance Level'!J29</f>
        <v>147.93705500228938</v>
      </c>
      <c r="AF29" s="139">
        <f>Y29*'W.F. at Appliance Level'!K29+'UCM Services Protected'!Z29*'W.F. at Appliance Level'!L29+'UCM Services Protected'!AA29*'W.F. at Appliance Level'!M29+'UCM Services Protected'!AB29*'W.F. at Appliance Level'!N29+'UCM Services Protected'!AC29*'W.F. at Appliance Level'!O29</f>
        <v>93.887042277607492</v>
      </c>
      <c r="AG29" s="139">
        <f>AD29*'W.F. End-use Level'!E30+'UCM Services Protected'!AE29*'W.F. End-use Level'!F30+'UCM Services Protected'!AF29*'W.F. End-use Level'!G30</f>
        <v>104.0987827178016</v>
      </c>
      <c r="AH29" s="167">
        <f>B29/'Utilisation by Sector'!$K$15</f>
        <v>30.976818356937908</v>
      </c>
      <c r="AI29" s="167">
        <f>C29/'Utilisation by Sector'!$L$15</f>
        <v>3.0866529605263158</v>
      </c>
      <c r="AJ29" s="167">
        <f>D29/'Utilisation by Sector'!$M$15</f>
        <v>19.584699636396081</v>
      </c>
      <c r="AK29" s="167">
        <f>E29/'Utilisation by Sector'!$N$15</f>
        <v>1.8837331932773109</v>
      </c>
      <c r="AL29" s="167">
        <f>F29/'Utilisation by Sector'!$O$15</f>
        <v>20.016806722689072</v>
      </c>
      <c r="AM29" s="167">
        <f>G29/'Utilisation by Sector'!$P$15</f>
        <v>1.5966487556561084</v>
      </c>
      <c r="AN29" s="167">
        <f>H29/'Utilisation by Sector'!$Q$15</f>
        <v>6.997555468749999</v>
      </c>
      <c r="AO29" s="139">
        <f t="shared" si="10"/>
        <v>178.37681835693792</v>
      </c>
      <c r="AP29" s="139">
        <f t="shared" si="11"/>
        <v>150.48665296052633</v>
      </c>
      <c r="AQ29" s="139">
        <f t="shared" si="12"/>
        <v>166.9846996363961</v>
      </c>
      <c r="AR29" s="139">
        <f t="shared" si="13"/>
        <v>149.28373319327733</v>
      </c>
      <c r="AS29" s="139">
        <f t="shared" si="14"/>
        <v>167.41680672268907</v>
      </c>
      <c r="AT29" s="139">
        <f t="shared" si="15"/>
        <v>18.659806650392959</v>
      </c>
      <c r="AU29" s="139">
        <f t="shared" si="16"/>
        <v>6.8600554687500006</v>
      </c>
      <c r="AV29" s="139">
        <f>AO29*'W.F. at Appliance Level'!I29</f>
        <v>178.37681835693792</v>
      </c>
      <c r="AW29" s="139">
        <f>AP29*'W.F. at Appliance Level'!J29</f>
        <v>150.48665296052633</v>
      </c>
      <c r="AX29" s="139">
        <f>AQ29*'W.F. at Appliance Level'!K29+'UCM Services Protected'!AR29*'W.F. at Appliance Level'!L29+'UCM Services Protected'!AS29*'W.F. at Appliance Level'!M29+'UCM Services Protected'!AT29*'W.F. at Appliance Level'!N29+'UCM Services Protected'!AU29*'W.F. at Appliance Level'!O29</f>
        <v>101.84102033430111</v>
      </c>
      <c r="AY29" s="139">
        <f>AV29*'W.F. End-use Level'!H30+'UCM Services Protected'!AW29*'W.F. End-use Level'!I30+'UCM Services Protected'!AX29*'W.F. End-use Level'!J30</f>
        <v>112.2346122987466</v>
      </c>
      <c r="AZ29" s="167">
        <f>B29/'Utilisation by Sector'!$K$21</f>
        <v>48.507655119380786</v>
      </c>
      <c r="BA29" s="167">
        <f>C29/'Utilisation by Sector'!$L$21</f>
        <v>0.5370550022893773</v>
      </c>
      <c r="BB29" s="167">
        <f>D29/'Utilisation by Sector'!$M$21</f>
        <v>3.0489001265451776</v>
      </c>
      <c r="BC29" s="167">
        <f>E29/'Utilisation by Sector'!$N$21</f>
        <v>0.44850790316126449</v>
      </c>
      <c r="BD29" s="167">
        <f>F29/'Utilisation by Sector'!$O$21</f>
        <v>4.7659063625450173</v>
      </c>
      <c r="BE29" s="167">
        <f>G29/'Utilisation by Sector'!$P$21</f>
        <v>0.38015446563240679</v>
      </c>
      <c r="BF29" s="167">
        <f>H29/'Utilisation by Sector'!$Q$21</f>
        <v>1.6660846354166665</v>
      </c>
      <c r="BG29" s="139">
        <f t="shared" si="17"/>
        <v>195.90765511938079</v>
      </c>
      <c r="BH29" s="139">
        <f t="shared" si="18"/>
        <v>147.93705500228938</v>
      </c>
      <c r="BI29" s="139">
        <f t="shared" si="19"/>
        <v>150.4489001265452</v>
      </c>
      <c r="BJ29" s="139">
        <f t="shared" si="20"/>
        <v>147.84850790316128</v>
      </c>
      <c r="BK29" s="139">
        <f t="shared" si="21"/>
        <v>152.16590636254503</v>
      </c>
      <c r="BL29" s="139">
        <f t="shared" si="22"/>
        <v>17.443312360369259</v>
      </c>
      <c r="BM29" s="139">
        <f t="shared" si="23"/>
        <v>1.5285846354166677</v>
      </c>
      <c r="BN29" s="139">
        <f>BG29*'W.F. at Appliance Level'!I29</f>
        <v>195.90765511938079</v>
      </c>
      <c r="BO29" s="139">
        <f>BH29*'W.F. at Appliance Level'!J29</f>
        <v>147.93705500228938</v>
      </c>
      <c r="BP29" s="139">
        <f>BI29*'W.F. at Appliance Level'!K29+'UCM Services Protected'!BJ29*'W.F. at Appliance Level'!L29+'UCM Services Protected'!BK29*'W.F. at Appliance Level'!M29+'UCM Services Protected'!BL29*'W.F. at Appliance Level'!N29+'UCM Services Protected'!BM29*'W.F. at Appliance Level'!O29</f>
        <v>93.887042277607492</v>
      </c>
      <c r="BQ29" s="139">
        <f>BN29*'W.F. End-use Level'!K30+'UCM Services Protected'!BO29*'W.F. End-use Level'!L30+'UCM Services Protected'!BP29*'W.F. End-use Level'!M30</f>
        <v>106.605357728562</v>
      </c>
      <c r="BR29" s="167">
        <f>B29/'Utilisation by Sector'!$K$27</f>
        <v>48.507655119380786</v>
      </c>
      <c r="BS29" s="167">
        <f>C29/'Utilisation by Sector'!$L$27</f>
        <v>0.5370550022893773</v>
      </c>
      <c r="BT29" s="167">
        <f>D29/'Utilisation by Sector'!$M$27</f>
        <v>3.0489001265451776</v>
      </c>
      <c r="BU29" s="167">
        <f>E29/'Utilisation by Sector'!$N$27</f>
        <v>0.44850790316126449</v>
      </c>
      <c r="BV29" s="167">
        <f>F29/'Utilisation by Sector'!$O$27</f>
        <v>4.7659063625450173</v>
      </c>
      <c r="BW29" s="167">
        <f>G29/'Utilisation by Sector'!$P$27</f>
        <v>0.38015446563240679</v>
      </c>
      <c r="BX29" s="167">
        <f>H29/'Utilisation by Sector'!$Q$27</f>
        <v>1.6660846354166665</v>
      </c>
      <c r="BY29" s="139">
        <f t="shared" si="24"/>
        <v>195.90765511938079</v>
      </c>
      <c r="BZ29" s="139">
        <f t="shared" si="25"/>
        <v>147.93705500228938</v>
      </c>
      <c r="CA29" s="139">
        <f t="shared" si="26"/>
        <v>150.4489001265452</v>
      </c>
      <c r="CB29" s="139">
        <f t="shared" si="27"/>
        <v>147.84850790316128</v>
      </c>
      <c r="CC29" s="139">
        <f t="shared" si="28"/>
        <v>152.16590636254503</v>
      </c>
      <c r="CD29" s="139">
        <f t="shared" si="29"/>
        <v>17.443312360369259</v>
      </c>
      <c r="CE29" s="139">
        <f t="shared" si="30"/>
        <v>1.5285846354166677</v>
      </c>
      <c r="CF29" s="139">
        <f>BY29*'W.F. at Appliance Level'!I29</f>
        <v>195.90765511938079</v>
      </c>
      <c r="CG29" s="139">
        <f>BZ29*'W.F. at Appliance Level'!J29</f>
        <v>147.93705500228938</v>
      </c>
      <c r="CH29" s="139">
        <f>CA29*'W.F. at Appliance Level'!K29+'UCM Services Protected'!CB29*'W.F. at Appliance Level'!L29+'UCM Services Protected'!CC29*'W.F. at Appliance Level'!M29+'UCM Services Protected'!CD29*'W.F. at Appliance Level'!N29+'UCM Services Protected'!CE29*'W.F. at Appliance Level'!O29</f>
        <v>93.887042277607492</v>
      </c>
      <c r="CI29" s="139">
        <f>CF29*'W.F. End-use Level'!N30+'UCM Services Protected'!CG29*'W.F. End-use Level'!O30+'UCM Services Protected'!CH29*'W.F. End-use Level'!P30</f>
        <v>106.605357728562</v>
      </c>
      <c r="CJ29" s="167">
        <f>B29/'Utilisation by Sector'!$K$33</f>
        <v>12.126913779845196</v>
      </c>
      <c r="CK29" s="167">
        <f>C29/'Utilisation by Sector'!$L$33</f>
        <v>0.5370550022893773</v>
      </c>
      <c r="CL29" s="167">
        <f>D29/'Utilisation by Sector'!$M$33</f>
        <v>3.0489001265451776</v>
      </c>
      <c r="CM29" s="167">
        <f>E29/'Utilisation by Sector'!$N$33</f>
        <v>0.44850790316126449</v>
      </c>
      <c r="CN29" s="167">
        <f>F29/'Utilisation by Sector'!$O$33</f>
        <v>4.7659063625450173</v>
      </c>
      <c r="CO29" s="167">
        <f>G29/'Utilisation by Sector'!$P$33</f>
        <v>0.38015446563240679</v>
      </c>
      <c r="CP29" s="167">
        <f>H29/'Utilisation by Sector'!$Q$33</f>
        <v>1.6660846354166665</v>
      </c>
      <c r="CQ29" s="139">
        <f t="shared" si="31"/>
        <v>159.52691377984519</v>
      </c>
      <c r="CR29" s="139">
        <f t="shared" si="32"/>
        <v>147.93705500228938</v>
      </c>
      <c r="CS29" s="139">
        <f t="shared" si="33"/>
        <v>150.4489001265452</v>
      </c>
      <c r="CT29" s="139">
        <f t="shared" si="34"/>
        <v>147.84850790316128</v>
      </c>
      <c r="CU29" s="139">
        <f t="shared" si="35"/>
        <v>152.16590636254503</v>
      </c>
      <c r="CV29" s="139">
        <f t="shared" si="36"/>
        <v>17.443312360369259</v>
      </c>
      <c r="CW29" s="139">
        <f t="shared" si="37"/>
        <v>1.5285846354166677</v>
      </c>
      <c r="CX29" s="139">
        <f>CQ29*'W.F. at Appliance Level'!I29</f>
        <v>159.52691377984519</v>
      </c>
      <c r="CY29" s="139">
        <f>CR29*'W.F. at Appliance Level'!J29</f>
        <v>147.93705500228938</v>
      </c>
      <c r="CZ29" s="139">
        <f>CS29*'W.F. at Appliance Level'!K29+'UCM Services Protected'!CT29*'W.F. at Appliance Level'!L29+'UCM Services Protected'!CU29*'W.F. at Appliance Level'!M29+'UCM Services Protected'!CV29*'W.F. at Appliance Level'!N29+'UCM Services Protected'!CW29*'W.F. at Appliance Level'!O29</f>
        <v>93.887042277607492</v>
      </c>
      <c r="DA29" s="139">
        <f>CX29*'W.F. End-use Level'!Q30+'UCM Services Protected'!CY29*'W.F. End-use Level'!R30+'UCM Services Protected'!CZ29*'W.F. End-use Level'!S30</f>
        <v>104.0987827178016</v>
      </c>
      <c r="DB29" s="167">
        <f>C29/'Utilisation by Sector'!$L$39</f>
        <v>2.2556310096153847</v>
      </c>
      <c r="DC29" s="167">
        <f>D29/'Utilisation by Sector'!$M$39</f>
        <v>19.584699636396081</v>
      </c>
      <c r="DD29" s="167">
        <f>E29/'Utilisation by Sector'!$N$39</f>
        <v>1.8837331932773109</v>
      </c>
      <c r="DE29" s="167">
        <f>F29/'Utilisation by Sector'!$O$39</f>
        <v>20.016806722689072</v>
      </c>
      <c r="DF29" s="167">
        <f>G29/'Utilisation by Sector'!$P$39</f>
        <v>1.5966487556561084</v>
      </c>
      <c r="DG29" s="167">
        <f>H29/'Utilisation by Sector'!$Q$39</f>
        <v>6.997555468749999</v>
      </c>
      <c r="DH29" s="139">
        <f t="shared" si="38"/>
        <v>149.65563100961538</v>
      </c>
      <c r="DI29" s="139">
        <f t="shared" si="39"/>
        <v>166.9846996363961</v>
      </c>
      <c r="DJ29" s="139">
        <f t="shared" si="40"/>
        <v>149.28373319327733</v>
      </c>
      <c r="DK29" s="139">
        <f t="shared" si="41"/>
        <v>167.41680672268907</v>
      </c>
      <c r="DL29" s="139">
        <f t="shared" si="42"/>
        <v>18.659806650392959</v>
      </c>
      <c r="DM29" s="139">
        <f t="shared" si="43"/>
        <v>6.8600554687500006</v>
      </c>
      <c r="DN29" s="139">
        <f>DH29*'W.F. at Appliance Level'!J29</f>
        <v>149.65563100961538</v>
      </c>
      <c r="DO29" s="139">
        <f>DI29*'W.F. at Appliance Level'!K29+'UCM Services Protected'!DJ29*'W.F. at Appliance Level'!L29+'UCM Services Protected'!DK29*'W.F. at Appliance Level'!M29+'UCM Services Protected'!DL29*'W.F. at Appliance Level'!N29+'UCM Services Protected'!DM29*'W.F. at Appliance Level'!O29</f>
        <v>101.84102033430111</v>
      </c>
      <c r="DP29" s="139">
        <f>DN29*'W.F. End-use Level'!T30+'UCM Services Protected'!DO29*'W.F. End-use Level'!U30</f>
        <v>107.2463649303949</v>
      </c>
      <c r="DQ29" s="134">
        <f>AG29*'W.F. at Subsector Level'!B29+'UCM Services Protected'!AY29*'W.F. at Subsector Level'!C29+'UCM Services Protected'!BQ29*'W.F. at Subsector Level'!D29+'UCM Services Protected'!CI29*'W.F. at Subsector Level'!E29+'UCM Services Protected'!DA29*'W.F. at Subsector Level'!F29+'UCM Services Protected'!DP29*'W.F. at Subsector Level'!G29</f>
        <v>106.81487635364479</v>
      </c>
    </row>
    <row r="30" spans="1:121" x14ac:dyDescent="0.3">
      <c r="A30" s="148" t="s">
        <v>28</v>
      </c>
      <c r="B30" s="149">
        <f>AVERAGE(Table3[Stove (€/MW)])</f>
        <v>177513.83358529193</v>
      </c>
      <c r="C30" s="150">
        <f>AVERAGE(Table3[Electric Water heater (€/MW)])</f>
        <v>62329.7419998728</v>
      </c>
      <c r="D30" s="149">
        <f>AVERAGE(Table3[A/C (€/MW)])</f>
        <v>140848.5230711106</v>
      </c>
      <c r="E30" s="150">
        <f>AVERAGE(Table3[Other electric appliances (€/MW)])</f>
        <v>21540.090058244605</v>
      </c>
      <c r="F30" s="149">
        <f>AVERAGE(F15:F23,F27,F29,F13,F4:F10)</f>
        <v>364239.75495103037</v>
      </c>
      <c r="G30" s="150">
        <f>AVERAGE(G29,G27,G21:G25,G19,G17,G15,G13,G10,G8,G6,G4:G5)</f>
        <v>36343.079494316153</v>
      </c>
      <c r="H30" s="149">
        <f>AVERAGE(H27:H29,H23:H25,H13:H21,H5:H10)</f>
        <v>105171.75608498839</v>
      </c>
      <c r="I30" s="151"/>
      <c r="J30" s="152"/>
      <c r="K30" s="152"/>
      <c r="DP30" s="153"/>
    </row>
    <row r="31" spans="1:121" x14ac:dyDescent="0.3">
      <c r="A31" s="116"/>
      <c r="B31" s="154"/>
      <c r="C31" s="154"/>
      <c r="D31" s="154"/>
      <c r="E31" s="154"/>
      <c r="F31" s="155"/>
      <c r="G31" s="154"/>
      <c r="H31" s="154"/>
      <c r="I31" s="151"/>
      <c r="J31" s="152"/>
      <c r="K31" s="152"/>
      <c r="DP31" s="153"/>
    </row>
  </sheetData>
  <autoFilter ref="A3:DQ29"/>
  <mergeCells count="41">
    <mergeCell ref="B1:H1"/>
    <mergeCell ref="D2:H2"/>
    <mergeCell ref="I1:L2"/>
    <mergeCell ref="M1:O2"/>
    <mergeCell ref="P1:V1"/>
    <mergeCell ref="R2:V2"/>
    <mergeCell ref="AZ1:BF1"/>
    <mergeCell ref="BG1:BM1"/>
    <mergeCell ref="W1:AC1"/>
    <mergeCell ref="AD1:AF2"/>
    <mergeCell ref="BT2:BX2"/>
    <mergeCell ref="AY1:AY2"/>
    <mergeCell ref="AG1:AG2"/>
    <mergeCell ref="Y2:AC2"/>
    <mergeCell ref="AH1:AN1"/>
    <mergeCell ref="AO1:AU1"/>
    <mergeCell ref="AV1:AX2"/>
    <mergeCell ref="AJ2:AN2"/>
    <mergeCell ref="AQ2:AU2"/>
    <mergeCell ref="BN1:BP2"/>
    <mergeCell ref="BB2:BF2"/>
    <mergeCell ref="BI2:BM2"/>
    <mergeCell ref="DQ1:DQ2"/>
    <mergeCell ref="DB1:DG1"/>
    <mergeCell ref="DH1:DM1"/>
    <mergeCell ref="DC2:DG2"/>
    <mergeCell ref="DI2:DM2"/>
    <mergeCell ref="DP1:DP2"/>
    <mergeCell ref="DA1:DA2"/>
    <mergeCell ref="BQ1:BQ2"/>
    <mergeCell ref="DN1:DO2"/>
    <mergeCell ref="CI1:CI2"/>
    <mergeCell ref="CJ1:CP1"/>
    <mergeCell ref="CQ1:CW1"/>
    <mergeCell ref="CX1:CZ2"/>
    <mergeCell ref="CL2:CP2"/>
    <mergeCell ref="CS2:CW2"/>
    <mergeCell ref="BY1:CE1"/>
    <mergeCell ref="CF1:CH2"/>
    <mergeCell ref="CA2:CE2"/>
    <mergeCell ref="BR1:BX1"/>
  </mergeCells>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J30"/>
  <sheetViews>
    <sheetView showGridLines="0" zoomScale="60" zoomScaleNormal="60" workbookViewId="0">
      <pane xSplit="1" topLeftCell="B1" activePane="topRight" state="frozen"/>
      <selection activeCell="A14" sqref="A14"/>
      <selection pane="topRight" activeCell="H4" sqref="H4"/>
    </sheetView>
  </sheetViews>
  <sheetFormatPr defaultRowHeight="18.75" x14ac:dyDescent="0.3"/>
  <cols>
    <col min="1" max="63" width="20.7109375" style="39" customWidth="1"/>
    <col min="64" max="64" width="20.7109375" style="48" customWidth="1"/>
    <col min="65" max="16384" width="9.140625" style="39"/>
  </cols>
  <sheetData>
    <row r="1" spans="1:192" ht="30" customHeight="1" x14ac:dyDescent="0.3">
      <c r="A1" s="163"/>
      <c r="B1" s="242" t="s">
        <v>56</v>
      </c>
      <c r="C1" s="242"/>
      <c r="D1" s="242"/>
      <c r="E1" s="242"/>
      <c r="F1" s="242"/>
      <c r="G1" s="242"/>
      <c r="H1" s="242"/>
      <c r="I1" s="242" t="s">
        <v>59</v>
      </c>
      <c r="J1" s="242"/>
      <c r="K1" s="242"/>
      <c r="L1" s="242"/>
      <c r="M1" s="242" t="s">
        <v>60</v>
      </c>
      <c r="N1" s="242"/>
      <c r="O1" s="242"/>
      <c r="P1" s="242" t="s">
        <v>158</v>
      </c>
      <c r="Q1" s="242"/>
      <c r="R1" s="242"/>
      <c r="S1" s="242"/>
      <c r="T1" s="242"/>
      <c r="U1" s="242"/>
      <c r="V1" s="242"/>
      <c r="W1" s="274" t="s">
        <v>159</v>
      </c>
      <c r="X1" s="275"/>
      <c r="Y1" s="275"/>
      <c r="Z1" s="275"/>
      <c r="AA1" s="275"/>
      <c r="AB1" s="275"/>
      <c r="AC1" s="276"/>
      <c r="AD1" s="242" t="s">
        <v>160</v>
      </c>
      <c r="AE1" s="242"/>
      <c r="AF1" s="242"/>
      <c r="AG1" s="247" t="s">
        <v>38</v>
      </c>
      <c r="AH1" s="274" t="s">
        <v>162</v>
      </c>
      <c r="AI1" s="275"/>
      <c r="AJ1" s="275"/>
      <c r="AK1" s="275"/>
      <c r="AL1" s="275"/>
      <c r="AM1" s="276"/>
      <c r="AN1" s="274" t="s">
        <v>163</v>
      </c>
      <c r="AO1" s="275"/>
      <c r="AP1" s="275"/>
      <c r="AQ1" s="275"/>
      <c r="AR1" s="275"/>
      <c r="AS1" s="276"/>
      <c r="AT1" s="247" t="s">
        <v>164</v>
      </c>
      <c r="AU1" s="249"/>
      <c r="AV1" s="247" t="s">
        <v>303</v>
      </c>
      <c r="AW1" s="274" t="s">
        <v>166</v>
      </c>
      <c r="AX1" s="275"/>
      <c r="AY1" s="275"/>
      <c r="AZ1" s="275"/>
      <c r="BA1" s="275"/>
      <c r="BB1" s="276"/>
      <c r="BC1" s="250" t="s">
        <v>167</v>
      </c>
      <c r="BD1" s="246"/>
      <c r="BE1" s="246"/>
      <c r="BF1" s="246"/>
      <c r="BG1" s="246"/>
      <c r="BH1" s="246"/>
      <c r="BI1" s="247" t="s">
        <v>168</v>
      </c>
      <c r="BJ1" s="249"/>
      <c r="BK1" s="261" t="s">
        <v>195</v>
      </c>
      <c r="BL1" s="247" t="s">
        <v>196</v>
      </c>
    </row>
    <row r="2" spans="1:192" ht="30" customHeight="1" x14ac:dyDescent="0.3">
      <c r="A2" s="26"/>
      <c r="B2" s="118" t="s">
        <v>48</v>
      </c>
      <c r="C2" s="118" t="s">
        <v>57</v>
      </c>
      <c r="D2" s="242" t="s">
        <v>58</v>
      </c>
      <c r="E2" s="242"/>
      <c r="F2" s="242"/>
      <c r="G2" s="242"/>
      <c r="H2" s="242"/>
      <c r="I2" s="242"/>
      <c r="J2" s="242"/>
      <c r="K2" s="242"/>
      <c r="L2" s="242"/>
      <c r="M2" s="242"/>
      <c r="N2" s="242"/>
      <c r="O2" s="242"/>
      <c r="P2" s="118" t="s">
        <v>48</v>
      </c>
      <c r="Q2" s="17" t="s">
        <v>57</v>
      </c>
      <c r="R2" s="274" t="s">
        <v>58</v>
      </c>
      <c r="S2" s="275"/>
      <c r="T2" s="275"/>
      <c r="U2" s="275"/>
      <c r="V2" s="276"/>
      <c r="W2" s="17" t="s">
        <v>48</v>
      </c>
      <c r="X2" s="17" t="s">
        <v>57</v>
      </c>
      <c r="Y2" s="274" t="s">
        <v>58</v>
      </c>
      <c r="Z2" s="275"/>
      <c r="AA2" s="275"/>
      <c r="AB2" s="275"/>
      <c r="AC2" s="276"/>
      <c r="AD2" s="242"/>
      <c r="AE2" s="242"/>
      <c r="AF2" s="242"/>
      <c r="AG2" s="250"/>
      <c r="AH2" s="17" t="s">
        <v>57</v>
      </c>
      <c r="AI2" s="274" t="s">
        <v>58</v>
      </c>
      <c r="AJ2" s="275"/>
      <c r="AK2" s="275"/>
      <c r="AL2" s="275"/>
      <c r="AM2" s="276"/>
      <c r="AN2" s="17" t="s">
        <v>57</v>
      </c>
      <c r="AO2" s="274" t="s">
        <v>58</v>
      </c>
      <c r="AP2" s="275"/>
      <c r="AQ2" s="275"/>
      <c r="AR2" s="275"/>
      <c r="AS2" s="276"/>
      <c r="AT2" s="250"/>
      <c r="AU2" s="251"/>
      <c r="AV2" s="250"/>
      <c r="AW2" s="17" t="s">
        <v>57</v>
      </c>
      <c r="AX2" s="274" t="s">
        <v>58</v>
      </c>
      <c r="AY2" s="275"/>
      <c r="AZ2" s="275"/>
      <c r="BA2" s="275"/>
      <c r="BB2" s="276"/>
      <c r="BC2" s="17" t="s">
        <v>57</v>
      </c>
      <c r="BD2" s="274" t="s">
        <v>58</v>
      </c>
      <c r="BE2" s="275"/>
      <c r="BF2" s="275"/>
      <c r="BG2" s="275"/>
      <c r="BH2" s="276"/>
      <c r="BI2" s="250"/>
      <c r="BJ2" s="251"/>
      <c r="BK2" s="263"/>
      <c r="BL2" s="250"/>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row>
    <row r="3" spans="1:192" s="162" customFormat="1" ht="75" x14ac:dyDescent="0.3">
      <c r="A3" s="165" t="s">
        <v>29</v>
      </c>
      <c r="B3" s="156" t="s">
        <v>98</v>
      </c>
      <c r="C3" s="156" t="s">
        <v>100</v>
      </c>
      <c r="D3" s="156" t="s">
        <v>305</v>
      </c>
      <c r="E3" s="156" t="s">
        <v>99</v>
      </c>
      <c r="F3" s="156" t="s">
        <v>101</v>
      </c>
      <c r="G3" s="156" t="s">
        <v>102</v>
      </c>
      <c r="H3" s="157" t="s">
        <v>103</v>
      </c>
      <c r="I3" s="158" t="s">
        <v>104</v>
      </c>
      <c r="J3" s="159" t="s">
        <v>105</v>
      </c>
      <c r="K3" s="159" t="s">
        <v>106</v>
      </c>
      <c r="L3" s="160" t="s">
        <v>107</v>
      </c>
      <c r="M3" s="158" t="s">
        <v>69</v>
      </c>
      <c r="N3" s="159" t="s">
        <v>70</v>
      </c>
      <c r="O3" s="160" t="s">
        <v>71</v>
      </c>
      <c r="P3" s="161" t="s">
        <v>62</v>
      </c>
      <c r="Q3" s="156" t="s">
        <v>63</v>
      </c>
      <c r="R3" s="156" t="s">
        <v>64</v>
      </c>
      <c r="S3" s="156" t="s">
        <v>65</v>
      </c>
      <c r="T3" s="156" t="s">
        <v>66</v>
      </c>
      <c r="U3" s="156" t="s">
        <v>67</v>
      </c>
      <c r="V3" s="157" t="s">
        <v>68</v>
      </c>
      <c r="W3" s="161" t="s">
        <v>72</v>
      </c>
      <c r="X3" s="156" t="s">
        <v>73</v>
      </c>
      <c r="Y3" s="156" t="s">
        <v>74</v>
      </c>
      <c r="Z3" s="156" t="s">
        <v>75</v>
      </c>
      <c r="AA3" s="156" t="s">
        <v>76</v>
      </c>
      <c r="AB3" s="156" t="s">
        <v>126</v>
      </c>
      <c r="AC3" s="157" t="s">
        <v>78</v>
      </c>
      <c r="AD3" s="161" t="s">
        <v>109</v>
      </c>
      <c r="AE3" s="156" t="s">
        <v>110</v>
      </c>
      <c r="AF3" s="157" t="s">
        <v>111</v>
      </c>
      <c r="AG3" s="117" t="s">
        <v>115</v>
      </c>
      <c r="AH3" s="156" t="s">
        <v>141</v>
      </c>
      <c r="AI3" s="156" t="s">
        <v>140</v>
      </c>
      <c r="AJ3" s="156" t="s">
        <v>139</v>
      </c>
      <c r="AK3" s="156" t="s">
        <v>123</v>
      </c>
      <c r="AL3" s="156" t="s">
        <v>144</v>
      </c>
      <c r="AM3" s="157" t="s">
        <v>138</v>
      </c>
      <c r="AN3" s="156" t="s">
        <v>143</v>
      </c>
      <c r="AO3" s="156" t="s">
        <v>137</v>
      </c>
      <c r="AP3" s="156" t="s">
        <v>136</v>
      </c>
      <c r="AQ3" s="156" t="s">
        <v>135</v>
      </c>
      <c r="AR3" s="156" t="s">
        <v>116</v>
      </c>
      <c r="AS3" s="157" t="s">
        <v>134</v>
      </c>
      <c r="AT3" s="156" t="s">
        <v>133</v>
      </c>
      <c r="AU3" s="157" t="s">
        <v>132</v>
      </c>
      <c r="AV3" s="117" t="s">
        <v>142</v>
      </c>
      <c r="AW3" s="156" t="s">
        <v>145</v>
      </c>
      <c r="AX3" s="156" t="s">
        <v>146</v>
      </c>
      <c r="AY3" s="156" t="s">
        <v>147</v>
      </c>
      <c r="AZ3" s="156" t="s">
        <v>148</v>
      </c>
      <c r="BA3" s="156" t="s">
        <v>127</v>
      </c>
      <c r="BB3" s="157" t="s">
        <v>149</v>
      </c>
      <c r="BC3" s="156" t="s">
        <v>128</v>
      </c>
      <c r="BD3" s="156" t="s">
        <v>150</v>
      </c>
      <c r="BE3" s="156" t="s">
        <v>151</v>
      </c>
      <c r="BF3" s="156" t="s">
        <v>152</v>
      </c>
      <c r="BG3" s="156" t="s">
        <v>77</v>
      </c>
      <c r="BH3" s="157" t="s">
        <v>153</v>
      </c>
      <c r="BI3" s="156" t="s">
        <v>154</v>
      </c>
      <c r="BJ3" s="157" t="s">
        <v>155</v>
      </c>
      <c r="BK3" s="158" t="s">
        <v>129</v>
      </c>
      <c r="BL3" s="46" t="s">
        <v>197</v>
      </c>
    </row>
    <row r="4" spans="1:192" x14ac:dyDescent="0.3">
      <c r="A4" s="147" t="s">
        <v>2</v>
      </c>
      <c r="B4" s="166">
        <f>Table35[[#This Row],[Stove (€/MW)]]</f>
        <v>208043.21053758834</v>
      </c>
      <c r="C4" s="166">
        <f>Table35[[#This Row],[Electric Water heater (€/MW)]]</f>
        <v>78066.666666666672</v>
      </c>
      <c r="D4" s="166">
        <f>Table35[[#This Row],[A/C (€/MW)]]</f>
        <v>132372.20082477437</v>
      </c>
      <c r="E4" s="166">
        <f>Table35[[#This Row],[Other electric appliances (€/MW)]]</f>
        <v>47730</v>
      </c>
      <c r="F4" s="166">
        <f>Table35[[#This Row],[Heat pumps (€/MW)]]</f>
        <v>256139.00704018777</v>
      </c>
      <c r="G4" s="166">
        <f>Table35[[#This Row],[Oil Burner (€/MW)]]</f>
        <v>21336.811625874125</v>
      </c>
      <c r="H4" s="166">
        <f>Table35[[#This Row],[Burner (Pellet, wood,…) (€/MW)]]</f>
        <v>105171.75608498839</v>
      </c>
      <c r="I4" s="166">
        <f>'Fuel Prices excl. VAT'!B3</f>
        <v>6.4699999999999994E-2</v>
      </c>
      <c r="J4" s="166">
        <f>'Fuel Prices excl. VAT'!D3</f>
        <v>0.24390000000000001</v>
      </c>
      <c r="K4" s="166">
        <f>'Fuel Prices excl. VAT'!F3</f>
        <v>0.14168654747834541</v>
      </c>
      <c r="L4" s="166">
        <f>'Fuel Prices excl. VAT'!H3</f>
        <v>4.4999999999999998E-2</v>
      </c>
      <c r="M4" s="166">
        <f t="shared" ref="M4:M29" si="0">J4-I4</f>
        <v>0.17920000000000003</v>
      </c>
      <c r="N4" s="166">
        <f t="shared" ref="N4:N29" si="1">K4-I4</f>
        <v>7.6986547478345421E-2</v>
      </c>
      <c r="O4" s="166">
        <f t="shared" ref="O4:O29" si="2">L4-I4</f>
        <v>-1.9699999999999995E-2</v>
      </c>
      <c r="P4" s="166">
        <f>B4/'Utilisation by Sector'!$U$9</f>
        <v>7.1443410212083904</v>
      </c>
      <c r="Q4" s="166">
        <f>C4/'Utilisation by Sector'!$T$9</f>
        <v>2.6808608058608061</v>
      </c>
      <c r="R4" s="166">
        <f>D4/'Utilisation by Sector'!$V$9</f>
        <v>4.5457486546969221</v>
      </c>
      <c r="S4" s="166">
        <f>E4/'Utilisation by Sector'!$W$9</f>
        <v>3.5811824729891959</v>
      </c>
      <c r="T4" s="166">
        <f>F4/'Utilisation by Sector'!$X$9</f>
        <v>8.9684526274575553</v>
      </c>
      <c r="U4" s="166">
        <f>G4/'Utilisation by Sector'!$Y$9</f>
        <v>0.56031543135173645</v>
      </c>
      <c r="V4" s="166">
        <f>H4/'Utilisation by Sector'!$Z$9</f>
        <v>2.7618633425679722</v>
      </c>
      <c r="W4" s="138">
        <f t="shared" ref="W4:W29" si="3">P4+M4*1000</f>
        <v>186.34434102120841</v>
      </c>
      <c r="X4" s="138">
        <f t="shared" ref="X4:X29" si="4">Q4+M4*1000</f>
        <v>181.88086080586083</v>
      </c>
      <c r="Y4" s="138">
        <f t="shared" ref="Y4:Y29" si="5">R4+M4*1000</f>
        <v>183.74574865469694</v>
      </c>
      <c r="Z4" s="138">
        <f t="shared" ref="Z4:Z29" si="6">S4+M4*1000</f>
        <v>182.7811824729892</v>
      </c>
      <c r="AA4" s="138">
        <f t="shared" ref="AA4:AA29" si="7">T4+M4*1000</f>
        <v>188.16845262745758</v>
      </c>
      <c r="AB4" s="138">
        <f t="shared" ref="AB4:AB29" si="8">U4+N4*1000</f>
        <v>77.546862909697154</v>
      </c>
      <c r="AC4" s="138">
        <f t="shared" ref="AC4:AC29" si="9">V4+O4*1000</f>
        <v>-16.938136657432025</v>
      </c>
      <c r="AD4" s="138">
        <f>Table8[[#This Row],[UCM
Stove
(€/MWh)]]*'W.F. at Appliance Level'!P4</f>
        <v>186.34434102120841</v>
      </c>
      <c r="AE4" s="138">
        <f>Table8[[#This Row],[UCM
Electric water heater
(€/MWh)]]*'W.F. at Appliance Level'!Q4</f>
        <v>181.88086080586083</v>
      </c>
      <c r="AF4" s="138">
        <f>Table8[[#This Row],[UCM
A/C
(€/MWh)]]*'W.F. at Appliance Level'!R4+Table8[[#This Row],[UCM
Other elecric appliances
(€/MWh)]]*'W.F. at Appliance Level'!S4+Table8[[#This Row],[UCM
heat pumps
(€/MWh)]]*'W.F. at Appliance Level'!T4+Table8[[#This Row],[UCM
Oil burner 
(€/MWh)]]*'W.F. at Appliance Level'!U4+Table8[[#This Row],[UCM
Pellet/Wood burner
(€/MWh)]]*'W.F. at Appliance Level'!V4</f>
        <v>123.06082200148178</v>
      </c>
      <c r="AG4" s="138">
        <f>Table8[[#This Row],[UCM for cooking
(€/MWh)]]*'W.F. End-use Level'!V5+Table8[[#This Row],[UCM for water heating
(€/MWh)]]*'W.F. End-use Level'!W5+Table8[[#This Row],[UCM for space heating
(€/MWh)]]*'W.F. End-use Level'!X5</f>
        <v>143.85233671062576</v>
      </c>
      <c r="AH4" s="166">
        <f>C4/'Utilisation by Sector'!$U$15</f>
        <v>2.5021367521367521</v>
      </c>
      <c r="AI4" s="166">
        <f>D4/'Utilisation by Sector'!$V$15</f>
        <v>3.5355822869864948</v>
      </c>
      <c r="AJ4" s="166">
        <f>E4/'Utilisation by Sector'!$W$15</f>
        <v>3.3424369747899161</v>
      </c>
      <c r="AK4" s="166">
        <f>F4/'Utilisation by Sector'!$X$15</f>
        <v>8.3705557856270509</v>
      </c>
      <c r="AL4" s="166">
        <f>G4/'Utilisation by Sector'!$Y$15</f>
        <v>0.52296106926162067</v>
      </c>
      <c r="AM4" s="166">
        <f>H4/'Utilisation by Sector'!$Z$15</f>
        <v>2.5777391197301074</v>
      </c>
      <c r="AN4" s="138">
        <f t="shared" ref="AN4:AN29" si="10">AH4+M4*1000</f>
        <v>181.70213675213677</v>
      </c>
      <c r="AO4" s="138">
        <f t="shared" ref="AO4:AO29" si="11">AI4+M4*1000</f>
        <v>182.7355822869865</v>
      </c>
      <c r="AP4" s="138">
        <f t="shared" ref="AP4:AP29" si="12">AJ4+M4*1000</f>
        <v>182.54243697478992</v>
      </c>
      <c r="AQ4" s="138">
        <f t="shared" ref="AQ4:AQ29" si="13">AK4+M4*1000</f>
        <v>187.57055578562708</v>
      </c>
      <c r="AR4" s="138">
        <f t="shared" ref="AR4:AR29" si="14">AL4+N4*1000</f>
        <v>77.509508547607041</v>
      </c>
      <c r="AS4" s="138">
        <f t="shared" ref="AS4:AS29" si="15">AM4+O4*1000</f>
        <v>-17.122260880269888</v>
      </c>
      <c r="AT4" s="138">
        <f>Table8[[#This Row],[UCM
Electric water heater
(€/MWh) ]]*'W.F. at Appliance Level'!X4</f>
        <v>181.70213675213677</v>
      </c>
      <c r="AU4" s="138">
        <f>Table8[[#This Row],[UCM
A/C
(€/MWh) ]]*'W.F. at Appliance Level'!Y4+Table8[[#This Row],[UCM
Other elecric appliances
(€/MWh) ]]*'W.F. at Appliance Level'!Z4+Table8[[#This Row],[UCM
heat pumps
(€/MWh) ]]*'W.F. at Appliance Level'!AA4+Table8[[#This Row],[UCM
Oil burner
(€/MWh)]]*'W.F. at Appliance Level'!AB4+Table8[[#This Row],[UCM
Pellet/Wood burner
(€/MWh) ]]*'W.F. at Appliance Level'!AC4</f>
        <v>107.67334643498768</v>
      </c>
      <c r="AV4" s="138">
        <f>Table8[[#This Row],[UCM for water heating
(€/MWh) ]]*'W.F. End-use Level'!Y5+Table8[[#This Row],[UCM for space heating
(€/MWh) ]]*'W.F. End-use Level'!Z5</f>
        <v>126.95223475134856</v>
      </c>
      <c r="AW4" s="166">
        <f>C4/'Utilisation by Sector'!$U$21</f>
        <v>3.7532051282051286</v>
      </c>
      <c r="AX4" s="166">
        <f>D4/'Utilisation by Sector'!$V$21</f>
        <v>6.3640481165756908</v>
      </c>
      <c r="AY4" s="166">
        <f>E4/'Utilisation by Sector'!$W$21</f>
        <v>5.0136554621848743</v>
      </c>
      <c r="AZ4" s="166">
        <f>F4/'Utilisation by Sector'!$X$21</f>
        <v>12.555833678440576</v>
      </c>
      <c r="BA4" s="166">
        <f>G4/'Utilisation by Sector'!$Y$21</f>
        <v>0.78444160389243101</v>
      </c>
      <c r="BB4" s="166">
        <f>H4/'Utilisation by Sector'!$Z$21</f>
        <v>3.8666086795951613</v>
      </c>
      <c r="BC4" s="138">
        <f t="shared" ref="BC4:BC29" si="16">AW4+M4*1000</f>
        <v>182.95320512820516</v>
      </c>
      <c r="BD4" s="138">
        <f t="shared" ref="BD4:BD29" si="17">AX4+M4*1000</f>
        <v>185.56404811657572</v>
      </c>
      <c r="BE4" s="138">
        <f t="shared" ref="BE4:BE29" si="18">AY4+M4*1000</f>
        <v>184.2136554621849</v>
      </c>
      <c r="BF4" s="138">
        <f t="shared" ref="BF4:BF29" si="19">AZ4+M4*1000</f>
        <v>191.75583367844058</v>
      </c>
      <c r="BG4" s="138">
        <f t="shared" ref="BG4:BG29" si="20">BA4+N4*1000</f>
        <v>77.770989082237847</v>
      </c>
      <c r="BH4" s="138">
        <f t="shared" ref="BH4:BH29" si="21">BB4+O4*1000</f>
        <v>-15.833391320404834</v>
      </c>
      <c r="BI4" s="138">
        <f>Table8[[#This Row],[UCM Electric water heater
(€/MWh)]]*'W.F. at Appliance Level'!X4</f>
        <v>182.95320512820516</v>
      </c>
      <c r="BJ4" s="138">
        <f>Table8[[#This Row],[UCM
A/C
(€/MWh)  ]]*'W.F. at Appliance Level'!Y4+Table8[[#This Row],[UCM
Other elecric appliances
(€/MWh)  ]]*'W.F. at Appliance Level'!Z4+Table8[[#This Row],[UCM
heat pumps
(€/MWh)  ]]*'W.F. at Appliance Level'!AA4+Table8[[#This Row],[UCM
Oil burner
(€/MWh) ]]*'W.F. at Appliance Level'!AB4+Table8[[#This Row],[UCM
Pellet/Wood burner
(€/MWh)  ]]*'W.F. at Appliance Level'!AC4</f>
        <v>109.81436988921233</v>
      </c>
      <c r="BK4" s="138">
        <f>Table8[[#This Row],[UCM for water heating
(€/MWh)  ]]*'W.F. End-use Level'!AA5+Table8[[#This Row],[UCM for space heating
(€/MWh)  ]]*'W.F. End-use Level'!AB5</f>
        <v>128.86149236845969</v>
      </c>
      <c r="BL4" s="133">
        <f>Table8[[#This Row],[Total UCM
(€/MWh)]]*'W.F. at Subsector Level'!H4+Table8[[#This Row],[Total UCM
(€/MWh) ]]*'W.F. at Subsector Level'!I4+Table8[[#This Row],[Total UCM 
(€/MWh)]]*'W.F. at Subsector Level'!J4</f>
        <v>133.22202127681135</v>
      </c>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row>
    <row r="5" spans="1:192" x14ac:dyDescent="0.3">
      <c r="A5" s="147" t="s">
        <v>3</v>
      </c>
      <c r="B5" s="167">
        <f>Table35[[#This Row],[Stove (€/MW)]]</f>
        <v>408888.88888888888</v>
      </c>
      <c r="C5" s="167">
        <f>Table35[[#This Row],[Electric Water heater (€/MW)]]</f>
        <v>243351.85185185188</v>
      </c>
      <c r="D5" s="167">
        <f>Table35[[#This Row],[A/C (€/MW)]]</f>
        <v>211348.19532908703</v>
      </c>
      <c r="E5" s="167">
        <f>Table35[[#This Row],[Other electric appliances (€/MW)]]</f>
        <v>19093.666666666664</v>
      </c>
      <c r="F5" s="167">
        <f>Table35[[#This Row],[Heat pumps (€/MW)]]</f>
        <v>714913.57142857148</v>
      </c>
      <c r="G5" s="167">
        <f>Table35[[#This Row],[Oil Burner (€/MW)]]</f>
        <v>11156.202663880907</v>
      </c>
      <c r="H5" s="167">
        <f>Table35[[#This Row],[Burner (Pellet, wood,…) (€/MW)]]</f>
        <v>84133.333333333328</v>
      </c>
      <c r="I5" s="167">
        <f>'Fuel Prices excl. VAT'!B4</f>
        <v>9.7000000000000003E-2</v>
      </c>
      <c r="J5" s="167">
        <f>'Fuel Prices excl. VAT'!D4</f>
        <v>0.15479999999999999</v>
      </c>
      <c r="K5" s="167">
        <f>'Fuel Prices excl. VAT'!F4</f>
        <v>0.12105067656139483</v>
      </c>
      <c r="L5" s="167">
        <f>'Fuel Prices excl. VAT'!H4</f>
        <v>4.4999999999999998E-2</v>
      </c>
      <c r="M5" s="167">
        <f t="shared" si="0"/>
        <v>5.779999999999999E-2</v>
      </c>
      <c r="N5" s="167">
        <f t="shared" si="1"/>
        <v>2.4050676561394826E-2</v>
      </c>
      <c r="O5" s="167">
        <f t="shared" si="2"/>
        <v>-5.2000000000000005E-2</v>
      </c>
      <c r="P5" s="167">
        <f>B5/'Utilisation by Sector'!$T$9</f>
        <v>14.041514041514041</v>
      </c>
      <c r="Q5" s="167">
        <f>C5/'Utilisation by Sector'!$T$9</f>
        <v>8.3568630443630454</v>
      </c>
      <c r="R5" s="167">
        <f>D5/'Utilisation by Sector'!$V$9</f>
        <v>7.2578363780593076</v>
      </c>
      <c r="S5" s="167">
        <f>E5/'Utilisation by Sector'!$W$9</f>
        <v>1.4325980392156861</v>
      </c>
      <c r="T5" s="167">
        <f>F5/'Utilisation by Sector'!$X$9</f>
        <v>25.031987795118049</v>
      </c>
      <c r="U5" s="167">
        <f>G5/'Utilisation by Sector'!$Y$9</f>
        <v>0.29296750692964568</v>
      </c>
      <c r="V5" s="167">
        <f>H5/'Utilisation by Sector'!$Z$9</f>
        <v>2.2093837535014003</v>
      </c>
      <c r="W5" s="139">
        <f t="shared" si="3"/>
        <v>71.841514041514031</v>
      </c>
      <c r="X5" s="139">
        <f t="shared" si="4"/>
        <v>66.156863044363035</v>
      </c>
      <c r="Y5" s="139">
        <f t="shared" si="5"/>
        <v>65.057836378059292</v>
      </c>
      <c r="Z5" s="139">
        <f t="shared" si="6"/>
        <v>59.232598039215674</v>
      </c>
      <c r="AA5" s="139">
        <f t="shared" si="7"/>
        <v>82.831987795118039</v>
      </c>
      <c r="AB5" s="139">
        <f t="shared" si="8"/>
        <v>24.343644068324473</v>
      </c>
      <c r="AC5" s="139">
        <f t="shared" si="9"/>
        <v>-49.790616246498608</v>
      </c>
      <c r="AD5" s="139">
        <f>Table8[[#This Row],[UCM
Stove
(€/MWh)]]*'W.F. at Appliance Level'!P5</f>
        <v>71.841514041514031</v>
      </c>
      <c r="AE5" s="139">
        <f>Table8[[#This Row],[UCM
Electric water heater
(€/MWh)]]*'W.F. at Appliance Level'!Q5</f>
        <v>66.156863044363035</v>
      </c>
      <c r="AF5" s="139">
        <f>Table8[[#This Row],[UCM
A/C
(€/MWh)]]*'W.F. at Appliance Level'!R5+Table8[[#This Row],[UCM
Other elecric appliances
(€/MWh)]]*'W.F. at Appliance Level'!S5+Table8[[#This Row],[UCM
heat pumps
(€/MWh)]]*'W.F. at Appliance Level'!T5+Table8[[#This Row],[UCM
Oil burner 
(€/MWh)]]*'W.F. at Appliance Level'!U5+Table8[[#This Row],[UCM
Pellet/Wood burner
(€/MWh)]]*'W.F. at Appliance Level'!V5</f>
        <v>36.335090006843771</v>
      </c>
      <c r="AG5" s="139">
        <f>Table8[[#This Row],[UCM for cooking
(€/MWh)]]*'W.F. End-use Level'!V6+Table8[[#This Row],[UCM for water heating
(€/MWh)]]*'W.F. End-use Level'!W6+Table8[[#This Row],[UCM for space heating
(€/MWh)]]*'W.F. End-use Level'!X6</f>
        <v>43.658736230383425</v>
      </c>
      <c r="AH5" s="167">
        <f>C5/'Utilisation by Sector'!$U$15</f>
        <v>7.7997388414055093</v>
      </c>
      <c r="AI5" s="167">
        <f>D5/'Utilisation by Sector'!$V$15</f>
        <v>5.6449838496016831</v>
      </c>
      <c r="AJ5" s="167">
        <f>E5/'Utilisation by Sector'!$W$15</f>
        <v>1.3370915032679738</v>
      </c>
      <c r="AK5" s="167">
        <f>F5/'Utilisation by Sector'!$X$15</f>
        <v>23.363188608776845</v>
      </c>
      <c r="AL5" s="167">
        <f>G5/'Utilisation by Sector'!$Y$15</f>
        <v>0.27343633980100263</v>
      </c>
      <c r="AM5" s="167">
        <f>H5/'Utilisation by Sector'!$Z$15</f>
        <v>2.0620915032679736</v>
      </c>
      <c r="AN5" s="139">
        <f t="shared" si="10"/>
        <v>65.599738841405497</v>
      </c>
      <c r="AO5" s="139">
        <f t="shared" si="11"/>
        <v>63.44498384960167</v>
      </c>
      <c r="AP5" s="139">
        <f t="shared" si="12"/>
        <v>59.13709150326796</v>
      </c>
      <c r="AQ5" s="139">
        <f t="shared" si="13"/>
        <v>81.163188608776835</v>
      </c>
      <c r="AR5" s="139">
        <f t="shared" si="14"/>
        <v>24.324112901195829</v>
      </c>
      <c r="AS5" s="139">
        <f t="shared" si="15"/>
        <v>-49.937908496732035</v>
      </c>
      <c r="AT5" s="139">
        <f>Table8[[#This Row],[UCM
Electric water heater
(€/MWh) ]]*'W.F. at Appliance Level'!X5</f>
        <v>65.599738841405497</v>
      </c>
      <c r="AU5" s="139">
        <f>Table8[[#This Row],[UCM
A/C
(€/MWh) ]]*'W.F. at Appliance Level'!Y5+Table8[[#This Row],[UCM
Other elecric appliances
(€/MWh) ]]*'W.F. at Appliance Level'!Z5+Table8[[#This Row],[UCM
heat pumps
(€/MWh) ]]*'W.F. at Appliance Level'!AA5+Table8[[#This Row],[UCM
Oil burner
(€/MWh)]]*'W.F. at Appliance Level'!AB5+Table8[[#This Row],[UCM
Pellet/Wood burner
(€/MWh) ]]*'W.F. at Appliance Level'!AC5</f>
        <v>29.748594215710575</v>
      </c>
      <c r="AV5" s="139">
        <f>Table8[[#This Row],[UCM for water heating
(€/MWh) ]]*'W.F. End-use Level'!Y6+Table8[[#This Row],[UCM for space heating
(€/MWh) ]]*'W.F. End-use Level'!Z6</f>
        <v>36.832497002424788</v>
      </c>
      <c r="AW5" s="167">
        <f>C5/'Utilisation by Sector'!$U$21</f>
        <v>11.699608262108264</v>
      </c>
      <c r="AX5" s="167">
        <f>D5/'Utilisation by Sector'!$V$21</f>
        <v>10.16097092928303</v>
      </c>
      <c r="AY5" s="167">
        <f>E5/'Utilisation by Sector'!$W$21</f>
        <v>2.0056372549019605</v>
      </c>
      <c r="AZ5" s="167">
        <f>F5/'Utilisation by Sector'!$X$21</f>
        <v>35.044782913165271</v>
      </c>
      <c r="BA5" s="167">
        <f>G5/'Utilisation by Sector'!$Y$21</f>
        <v>0.41015450970150397</v>
      </c>
      <c r="BB5" s="167">
        <f>H5/'Utilisation by Sector'!$Z$21</f>
        <v>3.0931372549019605</v>
      </c>
      <c r="BC5" s="139">
        <f t="shared" si="16"/>
        <v>69.499608262108254</v>
      </c>
      <c r="BD5" s="139">
        <f t="shared" si="17"/>
        <v>67.960970929283022</v>
      </c>
      <c r="BE5" s="139">
        <f t="shared" si="18"/>
        <v>59.805637254901953</v>
      </c>
      <c r="BF5" s="139">
        <f t="shared" si="19"/>
        <v>92.844782913165261</v>
      </c>
      <c r="BG5" s="139">
        <f t="shared" si="20"/>
        <v>24.460831071096329</v>
      </c>
      <c r="BH5" s="139">
        <f t="shared" si="21"/>
        <v>-48.906862745098046</v>
      </c>
      <c r="BI5" s="139">
        <f>Table8[[#This Row],[UCM Electric water heater
(€/MWh)]]*'W.F. at Appliance Level'!X5</f>
        <v>69.499608262108254</v>
      </c>
      <c r="BJ5" s="139">
        <f>Table8[[#This Row],[UCM
A/C
(€/MWh)  ]]*'W.F. at Appliance Level'!Y5+Table8[[#This Row],[UCM
Other elecric appliances
(€/MWh)  ]]*'W.F. at Appliance Level'!Z5+Table8[[#This Row],[UCM
heat pumps
(€/MWh)  ]]*'W.F. at Appliance Level'!AA5+Table8[[#This Row],[UCM
Oil burner
(€/MWh) ]]*'W.F. at Appliance Level'!AB5+Table8[[#This Row],[UCM
Pellet/Wood burner
(€/MWh)  ]]*'W.F. at Appliance Level'!AC5</f>
        <v>34.089930542111638</v>
      </c>
      <c r="BK5" s="139">
        <f>Table8[[#This Row],[UCM for water heating
(€/MWh)  ]]*'W.F. End-use Level'!AA6+Table8[[#This Row],[UCM for space heating
(€/MWh)  ]]*'W.F. End-use Level'!AB6</f>
        <v>41.086602957908291</v>
      </c>
      <c r="BL5" s="134">
        <f>Table8[[#This Row],[Total UCM
(€/MWh)]]*'W.F. at Subsector Level'!H5+Table8[[#This Row],[Total UCM
(€/MWh) ]]*'W.F. at Subsector Level'!I5+Table8[[#This Row],[Total UCM 
(€/MWh)]]*'W.F. at Subsector Level'!J5</f>
        <v>40.525945396905506</v>
      </c>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row>
    <row r="6" spans="1:192" x14ac:dyDescent="0.3">
      <c r="A6" s="147" t="s">
        <v>4</v>
      </c>
      <c r="B6" s="166">
        <f>Table35[[#This Row],[Stove (€/MW)]]</f>
        <v>167777.53968253967</v>
      </c>
      <c r="C6" s="166">
        <f>Table35[[#This Row],[Electric Water heater (€/MW)]]</f>
        <v>42899.285714285717</v>
      </c>
      <c r="D6" s="166">
        <f>Table35[[#This Row],[A/C (€/MW)]]</f>
        <v>211348.19532908703</v>
      </c>
      <c r="E6" s="166">
        <f>Table35[[#This Row],[Other electric appliances (€/MW)]]</f>
        <v>74277.333333333343</v>
      </c>
      <c r="F6" s="166">
        <f>Table35[[#This Row],[Heat pumps (€/MW)]]</f>
        <v>240298.53193233476</v>
      </c>
      <c r="G6" s="166">
        <f>Table35[[#This Row],[Oil Burner (€/MW)]]</f>
        <v>14918.870370370372</v>
      </c>
      <c r="H6" s="166">
        <f>Table35[[#This Row],[Burner (Pellet, wood,…) (€/MW)]]</f>
        <v>70071.634615384624</v>
      </c>
      <c r="I6" s="166">
        <f>'Fuel Prices excl. VAT'!B5</f>
        <v>4.7291666666666669E-2</v>
      </c>
      <c r="J6" s="166">
        <f>'Fuel Prices excl. VAT'!D5</f>
        <v>0.1275</v>
      </c>
      <c r="K6" s="166">
        <f>'Fuel Prices excl. VAT'!F5</f>
        <v>0.10694736842105264</v>
      </c>
      <c r="L6" s="166">
        <f>'Fuel Prices excl. VAT'!H5</f>
        <v>4.4999999999999998E-2</v>
      </c>
      <c r="M6" s="166">
        <f t="shared" si="0"/>
        <v>8.0208333333333326E-2</v>
      </c>
      <c r="N6" s="166">
        <f t="shared" si="1"/>
        <v>5.9655701754385969E-2</v>
      </c>
      <c r="O6" s="166">
        <f t="shared" si="2"/>
        <v>-2.291666666666671E-3</v>
      </c>
      <c r="P6" s="166">
        <f>B6/'Utilisation by Sector'!$T$9</f>
        <v>5.7615913352520494</v>
      </c>
      <c r="Q6" s="166">
        <f>C6/'Utilisation by Sector'!$T$9</f>
        <v>1.4731897566718997</v>
      </c>
      <c r="R6" s="166">
        <f>D6/'Utilisation by Sector'!$V$9</f>
        <v>7.2578363780593076</v>
      </c>
      <c r="S6" s="166">
        <f>E6/'Utilisation by Sector'!$W$9</f>
        <v>5.5730292116846742</v>
      </c>
      <c r="T6" s="166">
        <f>F6/'Utilisation by Sector'!$X$9</f>
        <v>8.4138141432890325</v>
      </c>
      <c r="U6" s="166">
        <f>G6/'Utilisation by Sector'!$Y$9</f>
        <v>0.39177705804544044</v>
      </c>
      <c r="V6" s="166">
        <f>H6/'Utilisation by Sector'!$Z$9</f>
        <v>1.8401164552359408</v>
      </c>
      <c r="W6" s="138">
        <f t="shared" si="3"/>
        <v>85.969924668585378</v>
      </c>
      <c r="X6" s="138">
        <f t="shared" si="4"/>
        <v>81.681523090005228</v>
      </c>
      <c r="Y6" s="138">
        <f t="shared" si="5"/>
        <v>87.466169711392638</v>
      </c>
      <c r="Z6" s="138">
        <f t="shared" si="6"/>
        <v>85.781362545017998</v>
      </c>
      <c r="AA6" s="138">
        <f t="shared" si="7"/>
        <v>88.622147476622359</v>
      </c>
      <c r="AB6" s="138">
        <f t="shared" si="8"/>
        <v>60.047478812431407</v>
      </c>
      <c r="AC6" s="138">
        <f t="shared" si="9"/>
        <v>-0.45155021143073015</v>
      </c>
      <c r="AD6" s="138">
        <f>Table8[[#This Row],[UCM
Stove
(€/MWh)]]*'W.F. at Appliance Level'!P6</f>
        <v>85.969924668585378</v>
      </c>
      <c r="AE6" s="138">
        <f>Table8[[#This Row],[UCM
Electric water heater
(€/MWh)]]*'W.F. at Appliance Level'!Q6</f>
        <v>81.681523090005228</v>
      </c>
      <c r="AF6" s="138">
        <f>Table8[[#This Row],[UCM
A/C
(€/MWh)]]*'W.F. at Appliance Level'!R6+Table8[[#This Row],[UCM
Other elecric appliances
(€/MWh)]]*'W.F. at Appliance Level'!S6+Table8[[#This Row],[UCM
heat pumps
(€/MWh)]]*'W.F. at Appliance Level'!T6+Table8[[#This Row],[UCM
Oil burner 
(€/MWh)]]*'W.F. at Appliance Level'!U6+Table8[[#This Row],[UCM
Pellet/Wood burner
(€/MWh)]]*'W.F. at Appliance Level'!V6</f>
        <v>64.293121666806741</v>
      </c>
      <c r="AG6" s="138">
        <f>Table8[[#This Row],[UCM for cooking
(€/MWh)]]*'W.F. End-use Level'!V7+Table8[[#This Row],[UCM for water heating
(€/MWh)]]*'W.F. End-use Level'!W7+Table8[[#This Row],[UCM for space heating
(€/MWh)]]*'W.F. End-use Level'!X7</f>
        <v>69.783755150180596</v>
      </c>
      <c r="AH6" s="166">
        <f>C6/'Utilisation by Sector'!$U$15</f>
        <v>1.3749771062271063</v>
      </c>
      <c r="AI6" s="166">
        <f>D6/'Utilisation by Sector'!$V$15</f>
        <v>5.6449838496016831</v>
      </c>
      <c r="AJ6" s="166">
        <f>E6/'Utilisation by Sector'!$W$15</f>
        <v>5.2014939309056967</v>
      </c>
      <c r="AK6" s="166">
        <f>F6/'Utilisation by Sector'!$X$15</f>
        <v>7.8528932004030967</v>
      </c>
      <c r="AL6" s="166">
        <f>G6/'Utilisation by Sector'!$Y$15</f>
        <v>0.36565858750907776</v>
      </c>
      <c r="AM6" s="166">
        <f>H6/'Utilisation by Sector'!$Z$15</f>
        <v>1.717442024886878</v>
      </c>
      <c r="AN6" s="138">
        <f t="shared" si="10"/>
        <v>81.583310439560435</v>
      </c>
      <c r="AO6" s="138">
        <f t="shared" si="11"/>
        <v>85.853317182935015</v>
      </c>
      <c r="AP6" s="138">
        <f t="shared" si="12"/>
        <v>85.409827264239027</v>
      </c>
      <c r="AQ6" s="138">
        <f t="shared" si="13"/>
        <v>88.061226533736431</v>
      </c>
      <c r="AR6" s="138">
        <f t="shared" si="14"/>
        <v>60.021360341895047</v>
      </c>
      <c r="AS6" s="138">
        <f t="shared" si="15"/>
        <v>-0.57422464177979293</v>
      </c>
      <c r="AT6" s="138">
        <f>Table8[[#This Row],[UCM
Electric water heater
(€/MWh) ]]*'W.F. at Appliance Level'!X6</f>
        <v>81.583310439560435</v>
      </c>
      <c r="AU6" s="138">
        <f>Table8[[#This Row],[UCM
A/C
(€/MWh) ]]*'W.F. at Appliance Level'!Y6+Table8[[#This Row],[UCM
Other elecric appliances
(€/MWh) ]]*'W.F. at Appliance Level'!Z6+Table8[[#This Row],[UCM
heat pumps
(€/MWh) ]]*'W.F. at Appliance Level'!AA6+Table8[[#This Row],[UCM
Oil burner
(€/MWh)]]*'W.F. at Appliance Level'!AB6+Table8[[#This Row],[UCM
Pellet/Wood burner
(€/MWh) ]]*'W.F. at Appliance Level'!AC6</f>
        <v>58.340419854196682</v>
      </c>
      <c r="AV6" s="138">
        <f>Table8[[#This Row],[UCM for water heating
(€/MWh) ]]*'W.F. End-use Level'!Y7+Table8[[#This Row],[UCM for space heating
(€/MWh) ]]*'W.F. End-use Level'!Z7</f>
        <v>63.794589704054125</v>
      </c>
      <c r="AW6" s="166">
        <f>C6/'Utilisation by Sector'!$U$21</f>
        <v>2.0624656593406594</v>
      </c>
      <c r="AX6" s="166">
        <f>D6/'Utilisation by Sector'!$V$21</f>
        <v>10.16097092928303</v>
      </c>
      <c r="AY6" s="166">
        <f>E6/'Utilisation by Sector'!$W$21</f>
        <v>7.8022408963585441</v>
      </c>
      <c r="AZ6" s="166">
        <f>F6/'Utilisation by Sector'!$X$21</f>
        <v>11.779339800604646</v>
      </c>
      <c r="BA6" s="166">
        <f>G6/'Utilisation by Sector'!$Y$21</f>
        <v>0.54848788126361658</v>
      </c>
      <c r="BB6" s="166">
        <f>H6/'Utilisation by Sector'!$Z$21</f>
        <v>2.5761630373303173</v>
      </c>
      <c r="BC6" s="138">
        <f t="shared" si="16"/>
        <v>82.270798992673988</v>
      </c>
      <c r="BD6" s="138">
        <f t="shared" si="17"/>
        <v>90.369304262616353</v>
      </c>
      <c r="BE6" s="138">
        <f t="shared" si="18"/>
        <v>88.010574229691869</v>
      </c>
      <c r="BF6" s="138">
        <f t="shared" si="19"/>
        <v>91.987673133937975</v>
      </c>
      <c r="BG6" s="138">
        <f t="shared" si="20"/>
        <v>60.204189635649584</v>
      </c>
      <c r="BH6" s="138">
        <f t="shared" si="21"/>
        <v>0.2844963706636463</v>
      </c>
      <c r="BI6" s="138">
        <f>Table8[[#This Row],[UCM Electric water heater
(€/MWh)]]*'W.F. at Appliance Level'!X6</f>
        <v>82.270798992673988</v>
      </c>
      <c r="BJ6" s="138">
        <f>Table8[[#This Row],[UCM
A/C
(€/MWh)  ]]*'W.F. at Appliance Level'!Y6+Table8[[#This Row],[UCM
Other elecric appliances
(€/MWh)  ]]*'W.F. at Appliance Level'!Z6+Table8[[#This Row],[UCM
heat pumps
(€/MWh)  ]]*'W.F. at Appliance Level'!AA6+Table8[[#This Row],[UCM
Oil burner
(€/MWh) ]]*'W.F. at Appliance Level'!AB6+Table8[[#This Row],[UCM
Pellet/Wood burner
(€/MWh)  ]]*'W.F. at Appliance Level'!AC6</f>
        <v>60.71141585071689</v>
      </c>
      <c r="BK6" s="138">
        <f>Table8[[#This Row],[UCM for water heating
(€/MWh)  ]]*'W.F. End-use Level'!AA7+Table8[[#This Row],[UCM for space heating
(€/MWh)  ]]*'W.F. End-use Level'!AB7</f>
        <v>65.770534340412567</v>
      </c>
      <c r="BL6" s="133">
        <f>Table8[[#This Row],[Total UCM
(€/MWh)]]*'W.F. at Subsector Level'!H6+Table8[[#This Row],[Total UCM
(€/MWh) ]]*'W.F. at Subsector Level'!I6+Table8[[#This Row],[Total UCM 
(€/MWh)]]*'W.F. at Subsector Level'!J6</f>
        <v>66.44962639821577</v>
      </c>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row>
    <row r="7" spans="1:192" x14ac:dyDescent="0.3">
      <c r="A7" s="147" t="s">
        <v>5</v>
      </c>
      <c r="B7" s="167">
        <f>Table35[[#This Row],[Stove (€/MW)]]</f>
        <v>59570.793650793661</v>
      </c>
      <c r="C7" s="167">
        <f>Table35[[#This Row],[Electric Water heater (€/MW)]]</f>
        <v>75970.37037037038</v>
      </c>
      <c r="D7" s="167">
        <f>Table35[[#This Row],[A/C (€/MW)]]</f>
        <v>192855.70370370371</v>
      </c>
      <c r="E7" s="167">
        <f>Table35[[#This Row],[Other electric appliances (€/MW)]]</f>
        <v>10800</v>
      </c>
      <c r="F7" s="167">
        <f>Table35[[#This Row],[Heat pumps (€/MW)]]</f>
        <v>308332.04633204633</v>
      </c>
      <c r="G7" s="167">
        <f>Table35[[#This Row],[Oil Burner (€/MW)]]</f>
        <v>36343.079494316153</v>
      </c>
      <c r="H7" s="167">
        <f>Table35[[#This Row],[Burner (Pellet, wood,…) (€/MW)]]</f>
        <v>46676.666666666672</v>
      </c>
      <c r="I7" s="167">
        <f>'Fuel Prices excl. VAT'!B6</f>
        <v>3.6200000000000003E-2</v>
      </c>
      <c r="J7" s="167">
        <f>'Fuel Prices excl. VAT'!D6</f>
        <v>0.1075</v>
      </c>
      <c r="K7" s="167">
        <f>'Fuel Prices excl. VAT'!F6</f>
        <v>8.2631578947368431E-2</v>
      </c>
      <c r="L7" s="167">
        <f>'Fuel Prices excl. VAT'!H6</f>
        <v>4.4999999999999998E-2</v>
      </c>
      <c r="M7" s="167">
        <f t="shared" si="0"/>
        <v>7.1300000000000002E-2</v>
      </c>
      <c r="N7" s="167">
        <f t="shared" si="1"/>
        <v>4.6431578947368428E-2</v>
      </c>
      <c r="O7" s="167">
        <f t="shared" si="2"/>
        <v>8.7999999999999953E-3</v>
      </c>
      <c r="P7" s="167">
        <f>B7/'Utilisation by Sector'!$T$9</f>
        <v>2.0457003314146176</v>
      </c>
      <c r="Q7" s="167">
        <f>C7/'Utilisation by Sector'!$T$9</f>
        <v>2.6088726088726091</v>
      </c>
      <c r="R7" s="167">
        <f>D7/'Utilisation by Sector'!$V$9</f>
        <v>6.6227920227920229</v>
      </c>
      <c r="S7" s="167">
        <f>E7/'Utilisation by Sector'!$W$9</f>
        <v>0.81032412965186074</v>
      </c>
      <c r="T7" s="167">
        <f>F7/'Utilisation by Sector'!$X$9</f>
        <v>10.795939997620669</v>
      </c>
      <c r="U7" s="167">
        <f>G7/'Utilisation by Sector'!$Y$9</f>
        <v>0.95438759176250398</v>
      </c>
      <c r="V7" s="167">
        <f>H7/'Utilisation by Sector'!$Z$9</f>
        <v>1.2257528011204484</v>
      </c>
      <c r="W7" s="139">
        <f t="shared" si="3"/>
        <v>73.345700331414619</v>
      </c>
      <c r="X7" s="139">
        <f t="shared" si="4"/>
        <v>73.908872608872599</v>
      </c>
      <c r="Y7" s="139">
        <f t="shared" si="5"/>
        <v>77.922792022792024</v>
      </c>
      <c r="Z7" s="139">
        <f t="shared" si="6"/>
        <v>72.110324129651858</v>
      </c>
      <c r="AA7" s="139">
        <f t="shared" si="7"/>
        <v>82.095939997620661</v>
      </c>
      <c r="AB7" s="139">
        <f t="shared" si="8"/>
        <v>47.385966539130933</v>
      </c>
      <c r="AC7" s="139">
        <f t="shared" si="9"/>
        <v>10.025752801120444</v>
      </c>
      <c r="AD7" s="139">
        <f>Table8[[#This Row],[UCM
Stove
(€/MWh)]]*'W.F. at Appliance Level'!P7</f>
        <v>73.345700331414619</v>
      </c>
      <c r="AE7" s="139">
        <f>Table8[[#This Row],[UCM
Electric water heater
(€/MWh)]]*'W.F. at Appliance Level'!Q7</f>
        <v>73.908872608872599</v>
      </c>
      <c r="AF7" s="139">
        <f>Table8[[#This Row],[UCM
A/C
(€/MWh)]]*'W.F. at Appliance Level'!R7+Table8[[#This Row],[UCM
Other elecric appliances
(€/MWh)]]*'W.F. at Appliance Level'!S7+Table8[[#This Row],[UCM
heat pumps
(€/MWh)]]*'W.F. at Appliance Level'!T7+Table8[[#This Row],[UCM
Oil burner 
(€/MWh)]]*'W.F. at Appliance Level'!U7+Table8[[#This Row],[UCM
Pellet/Wood burner
(€/MWh)]]*'W.F. at Appliance Level'!V7</f>
        <v>57.908155098063183</v>
      </c>
      <c r="AG7" s="139">
        <f>Table8[[#This Row],[UCM for cooking
(€/MWh)]]*'W.F. End-use Level'!V8+Table8[[#This Row],[UCM for water heating
(€/MWh)]]*'W.F. End-use Level'!W8+Table8[[#This Row],[UCM for space heating
(€/MWh)]]*'W.F. End-use Level'!X8</f>
        <v>62.123106188972059</v>
      </c>
      <c r="AH7" s="167">
        <f>C7/'Utilisation by Sector'!$U$15</f>
        <v>2.434947768281102</v>
      </c>
      <c r="AI7" s="167">
        <f>D7/'Utilisation by Sector'!$V$15</f>
        <v>5.1510604621715732</v>
      </c>
      <c r="AJ7" s="167">
        <f>E7/'Utilisation by Sector'!$W$15</f>
        <v>0.75630252100840334</v>
      </c>
      <c r="AK7" s="167">
        <f>F7/'Utilisation by Sector'!$X$15</f>
        <v>10.076210664445959</v>
      </c>
      <c r="AL7" s="167">
        <f>G7/'Utilisation by Sector'!$Y$15</f>
        <v>0.89076175231167043</v>
      </c>
      <c r="AM7" s="167">
        <f>H7/'Utilisation by Sector'!$Z$15</f>
        <v>1.1440359477124185</v>
      </c>
      <c r="AN7" s="139">
        <f t="shared" si="10"/>
        <v>73.734947768281103</v>
      </c>
      <c r="AO7" s="139">
        <f t="shared" si="11"/>
        <v>76.451060462171569</v>
      </c>
      <c r="AP7" s="139">
        <f t="shared" si="12"/>
        <v>72.056302521008405</v>
      </c>
      <c r="AQ7" s="139">
        <f t="shared" si="13"/>
        <v>81.376210664445949</v>
      </c>
      <c r="AR7" s="139">
        <f t="shared" si="14"/>
        <v>47.322340699680097</v>
      </c>
      <c r="AS7" s="139">
        <f t="shared" si="15"/>
        <v>9.9440359477124147</v>
      </c>
      <c r="AT7" s="139">
        <f>Table8[[#This Row],[UCM
Electric water heater
(€/MWh) ]]*'W.F. at Appliance Level'!X7</f>
        <v>73.734947768281103</v>
      </c>
      <c r="AU7" s="139">
        <f>Table8[[#This Row],[UCM
A/C
(€/MWh) ]]*'W.F. at Appliance Level'!Y7+Table8[[#This Row],[UCM
Other elecric appliances
(€/MWh) ]]*'W.F. at Appliance Level'!Z7+Table8[[#This Row],[UCM
heat pumps
(€/MWh) ]]*'W.F. at Appliance Level'!AA7+Table8[[#This Row],[UCM
Oil burner
(€/MWh)]]*'W.F. at Appliance Level'!AB7+Table8[[#This Row],[UCM
Pellet/Wood burner
(€/MWh) ]]*'W.F. at Appliance Level'!AC7</f>
        <v>53.773411943502509</v>
      </c>
      <c r="AV7" s="139">
        <f>Table8[[#This Row],[UCM for water heating
(€/MWh) ]]*'W.F. End-use Level'!Y8+Table8[[#This Row],[UCM for space heating
(€/MWh) ]]*'W.F. End-use Level'!Z8</f>
        <v>58.80683339148942</v>
      </c>
      <c r="AW7" s="167">
        <f>C7/'Utilisation by Sector'!$U$21</f>
        <v>3.6524216524216531</v>
      </c>
      <c r="AX7" s="167">
        <f>D7/'Utilisation by Sector'!$V$21</f>
        <v>9.2719088319088314</v>
      </c>
      <c r="AY7" s="167">
        <f>E7/'Utilisation by Sector'!$W$21</f>
        <v>1.134453781512605</v>
      </c>
      <c r="AZ7" s="167">
        <f>F7/'Utilisation by Sector'!$X$21</f>
        <v>15.114315996668937</v>
      </c>
      <c r="BA7" s="167">
        <f>G7/'Utilisation by Sector'!$Y$21</f>
        <v>1.3361426284675055</v>
      </c>
      <c r="BB7" s="167">
        <f>H7/'Utilisation by Sector'!$Z$21</f>
        <v>1.7160539215686277</v>
      </c>
      <c r="BC7" s="139">
        <f t="shared" si="16"/>
        <v>74.952421652421648</v>
      </c>
      <c r="BD7" s="139">
        <f t="shared" si="17"/>
        <v>80.571908831908829</v>
      </c>
      <c r="BE7" s="139">
        <f t="shared" si="18"/>
        <v>72.434453781512602</v>
      </c>
      <c r="BF7" s="139">
        <f t="shared" si="19"/>
        <v>86.414315996668932</v>
      </c>
      <c r="BG7" s="139">
        <f t="shared" si="20"/>
        <v>47.767721575835935</v>
      </c>
      <c r="BH7" s="139">
        <f t="shared" si="21"/>
        <v>10.516053921568624</v>
      </c>
      <c r="BI7" s="139">
        <f>Table8[[#This Row],[UCM Electric water heater
(€/MWh)]]*'W.F. at Appliance Level'!X7</f>
        <v>74.952421652421648</v>
      </c>
      <c r="BJ7" s="139">
        <f>Table8[[#This Row],[UCM
A/C
(€/MWh)  ]]*'W.F. at Appliance Level'!Y7+Table8[[#This Row],[UCM
Other elecric appliances
(€/MWh)  ]]*'W.F. at Appliance Level'!Z7+Table8[[#This Row],[UCM
heat pumps
(€/MWh)  ]]*'W.F. at Appliance Level'!AA7+Table8[[#This Row],[UCM
Oil burner
(€/MWh) ]]*'W.F. at Appliance Level'!AB7+Table8[[#This Row],[UCM
Pellet/Wood burner
(€/MWh)  ]]*'W.F. at Appliance Level'!AC7</f>
        <v>56.317500081495574</v>
      </c>
      <c r="BK7" s="139">
        <f>Table8[[#This Row],[UCM for water heating
(€/MWh)  ]]*'W.F. End-use Level'!AA8+Table8[[#This Row],[UCM for space heating
(€/MWh)  ]]*'W.F. End-use Level'!AB8</f>
        <v>61.016407757738648</v>
      </c>
      <c r="BL7" s="134">
        <f>Table8[[#This Row],[Total UCM
(€/MWh)]]*'W.F. at Subsector Level'!H7+Table8[[#This Row],[Total UCM
(€/MWh) ]]*'W.F. at Subsector Level'!I7+Table8[[#This Row],[Total UCM 
(€/MWh)]]*'W.F. at Subsector Level'!J7</f>
        <v>60.648782446066718</v>
      </c>
      <c r="BM7" s="164"/>
      <c r="BN7" s="164"/>
      <c r="BO7" s="164"/>
      <c r="BP7" s="164"/>
      <c r="BQ7" s="164"/>
      <c r="BR7" s="164"/>
      <c r="BS7" s="164"/>
      <c r="BT7" s="164"/>
      <c r="BU7" s="164"/>
      <c r="BV7" s="164"/>
      <c r="BW7" s="164"/>
      <c r="BX7" s="164"/>
      <c r="BY7" s="164"/>
      <c r="BZ7" s="164"/>
      <c r="CA7" s="164"/>
      <c r="CB7" s="164"/>
      <c r="CC7" s="164"/>
      <c r="CD7" s="164"/>
      <c r="CE7" s="164"/>
      <c r="CF7" s="164"/>
      <c r="CG7" s="164"/>
      <c r="CH7" s="164"/>
      <c r="CI7" s="164"/>
      <c r="CJ7" s="164"/>
      <c r="CK7" s="164"/>
      <c r="CL7" s="164"/>
      <c r="CM7" s="164"/>
      <c r="CN7" s="164"/>
      <c r="CO7" s="164"/>
      <c r="CP7" s="164"/>
      <c r="CQ7" s="164"/>
      <c r="CR7" s="164"/>
      <c r="CS7" s="164"/>
      <c r="CT7" s="164"/>
      <c r="CU7" s="164"/>
      <c r="CV7" s="164"/>
      <c r="CW7" s="164"/>
      <c r="CX7" s="164"/>
      <c r="CY7" s="164"/>
      <c r="CZ7" s="164"/>
      <c r="DA7" s="164"/>
      <c r="DB7" s="164"/>
      <c r="DC7" s="164"/>
      <c r="DD7" s="164"/>
      <c r="DE7" s="164"/>
      <c r="DF7" s="164"/>
      <c r="DG7" s="164"/>
      <c r="DH7" s="164"/>
      <c r="DI7" s="164"/>
      <c r="DJ7" s="164"/>
      <c r="DK7" s="164"/>
      <c r="DL7" s="164"/>
      <c r="DM7" s="164"/>
      <c r="DN7" s="164"/>
      <c r="DO7" s="164"/>
      <c r="DP7" s="164"/>
      <c r="DQ7" s="164"/>
      <c r="DR7" s="164"/>
      <c r="DS7" s="164"/>
      <c r="DT7" s="164"/>
      <c r="DU7" s="164"/>
      <c r="DV7" s="164"/>
      <c r="DW7" s="164"/>
      <c r="DX7" s="164"/>
      <c r="DY7" s="164"/>
      <c r="DZ7" s="164"/>
      <c r="EA7" s="164"/>
      <c r="EB7" s="164"/>
      <c r="EC7" s="164"/>
      <c r="ED7" s="164"/>
      <c r="EE7" s="164"/>
      <c r="EF7" s="164"/>
      <c r="EG7" s="164"/>
      <c r="EH7" s="164"/>
      <c r="EI7" s="164"/>
      <c r="EJ7" s="164"/>
      <c r="EK7" s="164"/>
      <c r="EL7" s="164"/>
      <c r="EM7" s="164"/>
      <c r="EN7" s="164"/>
      <c r="EO7" s="164"/>
      <c r="EP7" s="164"/>
      <c r="EQ7" s="164"/>
      <c r="ER7" s="164"/>
      <c r="ES7" s="164"/>
      <c r="ET7" s="164"/>
      <c r="EU7" s="164"/>
      <c r="EV7" s="164"/>
      <c r="EW7" s="164"/>
      <c r="EX7" s="164"/>
      <c r="EY7" s="164"/>
      <c r="EZ7" s="16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row>
    <row r="8" spans="1:192" x14ac:dyDescent="0.3">
      <c r="A8" s="147" t="s">
        <v>6</v>
      </c>
      <c r="B8" s="166">
        <f>Table35[[#This Row],[Stove (€/MW)]]</f>
        <v>124284.25287356324</v>
      </c>
      <c r="C8" s="166">
        <f>Table35[[#This Row],[Electric Water heater (€/MW)]]</f>
        <v>51371.944444444453</v>
      </c>
      <c r="D8" s="166">
        <f>Table35[[#This Row],[A/C (€/MW)]]</f>
        <v>167492.4856321839</v>
      </c>
      <c r="E8" s="166">
        <f>Table35[[#This Row],[Other electric appliances (€/MW)]]</f>
        <v>52831.25</v>
      </c>
      <c r="F8" s="166">
        <f>Table35[[#This Row],[Heat pumps (€/MW)]]</f>
        <v>360680.80467372132</v>
      </c>
      <c r="G8" s="166">
        <f>Table35[[#This Row],[Oil Burner (€/MW)]]</f>
        <v>9550</v>
      </c>
      <c r="H8" s="166">
        <f>Table35[[#This Row],[Burner (Pellet, wood,…) (€/MW)]]</f>
        <v>73290.660919540242</v>
      </c>
      <c r="I8" s="166">
        <f>'Fuel Prices excl. VAT'!B7</f>
        <v>3.1199999999999999E-2</v>
      </c>
      <c r="J8" s="166">
        <f>'Fuel Prices excl. VAT'!D7</f>
        <v>0.13100000000000001</v>
      </c>
      <c r="K8" s="166">
        <f>'Fuel Prices excl. VAT'!F7</f>
        <v>7.0934736842105273E-2</v>
      </c>
      <c r="L8" s="166">
        <f>'Fuel Prices excl. VAT'!H7</f>
        <v>4.4999999999999998E-2</v>
      </c>
      <c r="M8" s="166">
        <f t="shared" si="0"/>
        <v>9.98E-2</v>
      </c>
      <c r="N8" s="166">
        <f t="shared" si="1"/>
        <v>3.9734736842105274E-2</v>
      </c>
      <c r="O8" s="166">
        <f t="shared" si="2"/>
        <v>1.38E-2</v>
      </c>
      <c r="P8" s="166">
        <f>B8/'Utilisation by Sector'!$T$9</f>
        <v>4.2680031893393968</v>
      </c>
      <c r="Q8" s="166">
        <f>C8/'Utilisation by Sector'!$T$9</f>
        <v>1.764146443833944</v>
      </c>
      <c r="R8" s="166">
        <f>D8/'Utilisation by Sector'!$V$9</f>
        <v>5.7518023912151062</v>
      </c>
      <c r="S8" s="166">
        <f>E8/'Utilisation by Sector'!$W$9</f>
        <v>3.9639293217286915</v>
      </c>
      <c r="T8" s="166">
        <f>F8/'Utilisation by Sector'!$X$9</f>
        <v>12.628879715466432</v>
      </c>
      <c r="U8" s="166">
        <f>G8/'Utilisation by Sector'!$Y$9</f>
        <v>0.25078781512605042</v>
      </c>
      <c r="V8" s="166">
        <f>H8/'Utilisation by Sector'!$Z$9</f>
        <v>1.92464970902154</v>
      </c>
      <c r="W8" s="138">
        <f t="shared" si="3"/>
        <v>104.06800318933939</v>
      </c>
      <c r="X8" s="138">
        <f t="shared" si="4"/>
        <v>101.56414644383395</v>
      </c>
      <c r="Y8" s="138">
        <f t="shared" si="5"/>
        <v>105.55180239121511</v>
      </c>
      <c r="Z8" s="138">
        <f t="shared" si="6"/>
        <v>103.76392932172868</v>
      </c>
      <c r="AA8" s="138">
        <f t="shared" si="7"/>
        <v>112.42887971546642</v>
      </c>
      <c r="AB8" s="138">
        <f t="shared" si="8"/>
        <v>39.985524657231323</v>
      </c>
      <c r="AC8" s="138">
        <f t="shared" si="9"/>
        <v>15.72464970902154</v>
      </c>
      <c r="AD8" s="138">
        <f>Table8[[#This Row],[UCM
Stove
(€/MWh)]]*'W.F. at Appliance Level'!P8</f>
        <v>104.06800318933939</v>
      </c>
      <c r="AE8" s="138">
        <f>Table8[[#This Row],[UCM
Electric water heater
(€/MWh)]]*'W.F. at Appliance Level'!Q8</f>
        <v>101.56414644383395</v>
      </c>
      <c r="AF8" s="138">
        <f>Table8[[#This Row],[UCM
A/C
(€/MWh)]]*'W.F. at Appliance Level'!R8+Table8[[#This Row],[UCM
Other elecric appliances
(€/MWh)]]*'W.F. at Appliance Level'!S8+Table8[[#This Row],[UCM
heat pumps
(€/MWh)]]*'W.F. at Appliance Level'!T8+Table8[[#This Row],[UCM
Oil burner 
(€/MWh)]]*'W.F. at Appliance Level'!U8+Table8[[#This Row],[UCM
Pellet/Wood burner
(€/MWh)]]*'W.F. at Appliance Level'!V8</f>
        <v>75.490957158932616</v>
      </c>
      <c r="AG8" s="138">
        <f>Table8[[#This Row],[UCM for cooking
(€/MWh)]]*'W.F. End-use Level'!V9+Table8[[#This Row],[UCM for water heating
(€/MWh)]]*'W.F. End-use Level'!W9+Table8[[#This Row],[UCM for space heating
(€/MWh)]]*'W.F. End-use Level'!X9</f>
        <v>81.626301561655055</v>
      </c>
      <c r="AH8" s="166">
        <f>C8/'Utilisation by Sector'!$U$15</f>
        <v>1.6465366809116813</v>
      </c>
      <c r="AI8" s="166">
        <f>D8/'Utilisation by Sector'!$V$15</f>
        <v>4.4736240820561939</v>
      </c>
      <c r="AJ8" s="166">
        <f>E8/'Utilisation by Sector'!$W$15</f>
        <v>3.6996673669467786</v>
      </c>
      <c r="AK8" s="166">
        <f>F8/'Utilisation by Sector'!$X$15</f>
        <v>11.786954401102005</v>
      </c>
      <c r="AL8" s="166">
        <f>G8/'Utilisation by Sector'!$Y$15</f>
        <v>0.23406862745098039</v>
      </c>
      <c r="AM8" s="166">
        <f>H8/'Utilisation by Sector'!$Z$15</f>
        <v>1.7963397284201039</v>
      </c>
      <c r="AN8" s="138">
        <f t="shared" si="10"/>
        <v>101.44653668091168</v>
      </c>
      <c r="AO8" s="138">
        <f t="shared" si="11"/>
        <v>104.27362408205619</v>
      </c>
      <c r="AP8" s="138">
        <f t="shared" si="12"/>
        <v>103.49966736694678</v>
      </c>
      <c r="AQ8" s="138">
        <f t="shared" si="13"/>
        <v>111.58695440110201</v>
      </c>
      <c r="AR8" s="138">
        <f t="shared" si="14"/>
        <v>39.968805469556251</v>
      </c>
      <c r="AS8" s="138">
        <f t="shared" si="15"/>
        <v>15.596339728420103</v>
      </c>
      <c r="AT8" s="138">
        <f>Table8[[#This Row],[UCM
Electric water heater
(€/MWh) ]]*'W.F. at Appliance Level'!X8</f>
        <v>101.44653668091168</v>
      </c>
      <c r="AU8" s="138">
        <f>Table8[[#This Row],[UCM
A/C
(€/MWh) ]]*'W.F. at Appliance Level'!Y8+Table8[[#This Row],[UCM
Other elecric appliances
(€/MWh) ]]*'W.F. at Appliance Level'!Z8+Table8[[#This Row],[UCM
heat pumps
(€/MWh) ]]*'W.F. at Appliance Level'!AA8+Table8[[#This Row],[UCM
Oil burner
(€/MWh)]]*'W.F. at Appliance Level'!AB8+Table8[[#This Row],[UCM
Pellet/Wood burner
(€/MWh) ]]*'W.F. at Appliance Level'!AC8</f>
        <v>67.856430920283628</v>
      </c>
      <c r="AV8" s="138">
        <f>Table8[[#This Row],[UCM for water heating
(€/MWh) ]]*'W.F. End-use Level'!Y9+Table8[[#This Row],[UCM for space heating
(€/MWh) ]]*'W.F. End-use Level'!Z9</f>
        <v>73.143297155636873</v>
      </c>
      <c r="AW8" s="166">
        <f>C8/'Utilisation by Sector'!$U$21</f>
        <v>2.4698050213675216</v>
      </c>
      <c r="AX8" s="166">
        <f>D8/'Utilisation by Sector'!$V$21</f>
        <v>8.0525233477011486</v>
      </c>
      <c r="AY8" s="166">
        <f>E8/'Utilisation by Sector'!$W$21</f>
        <v>5.5495010504201678</v>
      </c>
      <c r="AZ8" s="166">
        <f>F8/'Utilisation by Sector'!$X$21</f>
        <v>17.680431601653005</v>
      </c>
      <c r="BA8" s="166">
        <f>G8/'Utilisation by Sector'!$Y$21</f>
        <v>0.35110294117647056</v>
      </c>
      <c r="BB8" s="166">
        <f>H8/'Utilisation by Sector'!$Z$21</f>
        <v>2.6945095926301561</v>
      </c>
      <c r="BC8" s="138">
        <f t="shared" si="16"/>
        <v>102.26980502136752</v>
      </c>
      <c r="BD8" s="138">
        <f t="shared" si="17"/>
        <v>107.85252334770115</v>
      </c>
      <c r="BE8" s="138">
        <f t="shared" si="18"/>
        <v>105.34950105042016</v>
      </c>
      <c r="BF8" s="138">
        <f t="shared" si="19"/>
        <v>117.48043160165301</v>
      </c>
      <c r="BG8" s="138">
        <f t="shared" si="20"/>
        <v>40.085839783281742</v>
      </c>
      <c r="BH8" s="138">
        <f t="shared" si="21"/>
        <v>16.494509592630155</v>
      </c>
      <c r="BI8" s="138">
        <f>Table8[[#This Row],[UCM Electric water heater
(€/MWh)]]*'W.F. at Appliance Level'!X8</f>
        <v>102.26980502136752</v>
      </c>
      <c r="BJ8" s="138">
        <f>Table8[[#This Row],[UCM
A/C
(€/MWh)  ]]*'W.F. at Appliance Level'!Y8+Table8[[#This Row],[UCM
Other elecric appliances
(€/MWh)  ]]*'W.F. at Appliance Level'!Z8+Table8[[#This Row],[UCM
heat pumps
(€/MWh)  ]]*'W.F. at Appliance Level'!AA8+Table8[[#This Row],[UCM
Oil burner
(€/MWh) ]]*'W.F. at Appliance Level'!AB8+Table8[[#This Row],[UCM
Pellet/Wood burner
(€/MWh)  ]]*'W.F. at Appliance Level'!AC8</f>
        <v>70.47832608131651</v>
      </c>
      <c r="BK8" s="138">
        <f>Table8[[#This Row],[UCM for water heating
(€/MWh)  ]]*'W.F. End-use Level'!AA9+Table8[[#This Row],[UCM for space heating
(€/MWh)  ]]*'W.F. End-use Level'!AB9</f>
        <v>75.48210004314511</v>
      </c>
      <c r="BL8" s="133">
        <f>Table8[[#This Row],[Total UCM
(€/MWh)]]*'W.F. at Subsector Level'!H8+Table8[[#This Row],[Total UCM
(€/MWh) ]]*'W.F. at Subsector Level'!I8+Table8[[#This Row],[Total UCM 
(€/MWh)]]*'W.F. at Subsector Level'!J8</f>
        <v>76.750566253479022</v>
      </c>
      <c r="BM8" s="164"/>
      <c r="BN8" s="164"/>
      <c r="BO8" s="164"/>
      <c r="BP8" s="164"/>
      <c r="BQ8" s="164"/>
      <c r="BR8" s="164"/>
      <c r="BS8" s="164"/>
      <c r="BT8" s="164"/>
      <c r="BU8" s="164"/>
      <c r="BV8" s="164"/>
      <c r="BW8" s="164"/>
      <c r="BX8" s="164"/>
      <c r="BY8" s="164"/>
      <c r="BZ8" s="164"/>
      <c r="CA8" s="164"/>
      <c r="CB8" s="164"/>
      <c r="CC8" s="164"/>
      <c r="CD8" s="164"/>
      <c r="CE8" s="164"/>
      <c r="CF8" s="164"/>
      <c r="CG8" s="164"/>
      <c r="CH8" s="164"/>
      <c r="CI8" s="164"/>
      <c r="CJ8" s="164"/>
      <c r="CK8" s="164"/>
      <c r="CL8" s="164"/>
      <c r="CM8" s="164"/>
      <c r="CN8" s="164"/>
      <c r="CO8" s="164"/>
      <c r="CP8" s="164"/>
      <c r="CQ8" s="164"/>
      <c r="CR8" s="164"/>
      <c r="CS8" s="164"/>
      <c r="CT8" s="164"/>
      <c r="CU8" s="164"/>
      <c r="CV8" s="164"/>
      <c r="CW8" s="164"/>
      <c r="CX8" s="164"/>
      <c r="CY8" s="164"/>
      <c r="CZ8" s="164"/>
      <c r="DA8" s="164"/>
      <c r="DB8" s="164"/>
      <c r="DC8" s="164"/>
      <c r="DD8" s="164"/>
      <c r="DE8" s="164"/>
      <c r="DF8" s="164"/>
      <c r="DG8" s="164"/>
      <c r="DH8" s="164"/>
      <c r="DI8" s="164"/>
      <c r="DJ8" s="164"/>
      <c r="DK8" s="164"/>
      <c r="DL8" s="164"/>
      <c r="DM8" s="164"/>
      <c r="DN8" s="164"/>
      <c r="DO8" s="164"/>
      <c r="DP8" s="164"/>
      <c r="DQ8" s="164"/>
      <c r="DR8" s="164"/>
      <c r="DS8" s="164"/>
      <c r="DT8" s="164"/>
      <c r="DU8" s="164"/>
      <c r="DV8" s="164"/>
      <c r="DW8" s="164"/>
      <c r="DX8" s="164"/>
      <c r="DY8" s="164"/>
      <c r="DZ8" s="164"/>
      <c r="EA8" s="164"/>
      <c r="EB8" s="164"/>
      <c r="EC8" s="164"/>
      <c r="ED8" s="164"/>
      <c r="EE8" s="164"/>
      <c r="EF8" s="164"/>
      <c r="EG8" s="164"/>
      <c r="EH8" s="164"/>
      <c r="EI8" s="164"/>
      <c r="EJ8" s="164"/>
      <c r="EK8" s="164"/>
      <c r="EL8" s="164"/>
      <c r="EM8" s="164"/>
      <c r="EN8" s="164"/>
      <c r="EO8" s="164"/>
      <c r="EP8" s="164"/>
      <c r="EQ8" s="164"/>
      <c r="ER8" s="164"/>
      <c r="ES8" s="164"/>
      <c r="ET8" s="164"/>
      <c r="EU8" s="164"/>
      <c r="EV8" s="164"/>
      <c r="EW8" s="164"/>
      <c r="EX8" s="164"/>
      <c r="EY8" s="164"/>
      <c r="EZ8" s="16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row>
    <row r="9" spans="1:192" x14ac:dyDescent="0.3">
      <c r="A9" s="147" t="s">
        <v>7</v>
      </c>
      <c r="B9" s="167">
        <f>Table35[[#This Row],[Stove (€/MW)]]</f>
        <v>276550.33959096466</v>
      </c>
      <c r="C9" s="167">
        <f>Table35[[#This Row],[Electric Water heater (€/MW)]]</f>
        <v>54395.888888888883</v>
      </c>
      <c r="D9" s="167">
        <f>Table35[[#This Row],[A/C (€/MW)]]</f>
        <v>125958.9632885633</v>
      </c>
      <c r="E9" s="167">
        <f>Table35[[#This Row],[Other electric appliances (€/MW)]]</f>
        <v>13772.333333333336</v>
      </c>
      <c r="F9" s="167">
        <f>Table35[[#This Row],[Heat pumps (€/MW)]]</f>
        <v>331795.61325831705</v>
      </c>
      <c r="G9" s="167">
        <f>Table35[[#This Row],[Oil Burner (€/MW)]]</f>
        <v>36343.079494316153</v>
      </c>
      <c r="H9" s="167">
        <f>Table35[[#This Row],[Burner (Pellet, wood,…) (€/MW)]]</f>
        <v>58064.376315789472</v>
      </c>
      <c r="I9" s="167">
        <f>'Fuel Prices excl. VAT'!B8</f>
        <v>3.0200000000000001E-2</v>
      </c>
      <c r="J9" s="167">
        <f>'Fuel Prices excl. VAT'!D8</f>
        <v>9.2200000000000004E-2</v>
      </c>
      <c r="K9" s="167">
        <f>'Fuel Prices excl. VAT'!F8</f>
        <v>7.1578947368421061E-2</v>
      </c>
      <c r="L9" s="167">
        <f>'Fuel Prices excl. VAT'!H8</f>
        <v>4.4999999999999998E-2</v>
      </c>
      <c r="M9" s="167">
        <f t="shared" si="0"/>
        <v>6.2E-2</v>
      </c>
      <c r="N9" s="167">
        <f t="shared" si="1"/>
        <v>4.1378947368421057E-2</v>
      </c>
      <c r="O9" s="167">
        <f t="shared" si="2"/>
        <v>1.4799999999999997E-2</v>
      </c>
      <c r="P9" s="167">
        <f>B9/'Utilisation by Sector'!$T$9</f>
        <v>9.4969210024369737</v>
      </c>
      <c r="Q9" s="167">
        <f>C9/'Utilisation by Sector'!$T$9</f>
        <v>1.8679906898656897</v>
      </c>
      <c r="R9" s="167">
        <f>D9/'Utilisation by Sector'!$V$9</f>
        <v>4.3255138491951683</v>
      </c>
      <c r="S9" s="167">
        <f>E9/'Utilisation by Sector'!$W$9</f>
        <v>1.0333383353341339</v>
      </c>
      <c r="T9" s="167">
        <f>F9/'Utilisation by Sector'!$X$9</f>
        <v>11.617493461425667</v>
      </c>
      <c r="U9" s="167">
        <f>G9/'Utilisation by Sector'!$Y$9</f>
        <v>0.95438759176250398</v>
      </c>
      <c r="V9" s="167">
        <f>H9/'Utilisation by Sector'!$Z$9</f>
        <v>1.5247997982087571</v>
      </c>
      <c r="W9" s="139">
        <f t="shared" si="3"/>
        <v>71.496921002436977</v>
      </c>
      <c r="X9" s="139">
        <f t="shared" si="4"/>
        <v>63.867990689865692</v>
      </c>
      <c r="Y9" s="139">
        <f t="shared" si="5"/>
        <v>66.325513849195175</v>
      </c>
      <c r="Z9" s="139">
        <f t="shared" si="6"/>
        <v>63.033338335334136</v>
      </c>
      <c r="AA9" s="139">
        <f t="shared" si="7"/>
        <v>73.617493461425667</v>
      </c>
      <c r="AB9" s="139">
        <f t="shared" si="8"/>
        <v>42.333334960183564</v>
      </c>
      <c r="AC9" s="139">
        <f t="shared" si="9"/>
        <v>16.324799798208755</v>
      </c>
      <c r="AD9" s="139">
        <f>Table8[[#This Row],[UCM
Stove
(€/MWh)]]*'W.F. at Appliance Level'!P9</f>
        <v>71.496921002436977</v>
      </c>
      <c r="AE9" s="139">
        <f>Table8[[#This Row],[UCM
Electric water heater
(€/MWh)]]*'W.F. at Appliance Level'!Q9</f>
        <v>63.867990689865692</v>
      </c>
      <c r="AF9" s="139">
        <f>Table8[[#This Row],[UCM
A/C
(€/MWh)]]*'W.F. at Appliance Level'!R9+Table8[[#This Row],[UCM
Other elecric appliances
(€/MWh)]]*'W.F. at Appliance Level'!S9+Table8[[#This Row],[UCM
heat pumps
(€/MWh)]]*'W.F. at Appliance Level'!T9+Table8[[#This Row],[UCM
Oil burner 
(€/MWh)]]*'W.F. at Appliance Level'!U9+Table8[[#This Row],[UCM
Pellet/Wood burner
(€/MWh)]]*'W.F. at Appliance Level'!V9</f>
        <v>52.32689608086946</v>
      </c>
      <c r="AG9" s="139">
        <f>Table8[[#This Row],[UCM for cooking
(€/MWh)]]*'W.F. End-use Level'!V10+Table8[[#This Row],[UCM for water heating
(€/MWh)]]*'W.F. End-use Level'!W10+Table8[[#This Row],[UCM for space heating
(€/MWh)]]*'W.F. End-use Level'!X10</f>
        <v>60.061677453887725</v>
      </c>
      <c r="AH9" s="167">
        <f>C9/'Utilisation by Sector'!$U$15</f>
        <v>1.743457977207977</v>
      </c>
      <c r="AI9" s="167">
        <f>D9/'Utilisation by Sector'!$V$15</f>
        <v>3.3642885493740198</v>
      </c>
      <c r="AJ9" s="167">
        <f>E9/'Utilisation by Sector'!$W$15</f>
        <v>0.96444911297852487</v>
      </c>
      <c r="AK9" s="167">
        <f>F9/'Utilisation by Sector'!$X$15</f>
        <v>10.842993897330622</v>
      </c>
      <c r="AL9" s="167">
        <f>G9/'Utilisation by Sector'!$Y$15</f>
        <v>0.89076175231167043</v>
      </c>
      <c r="AM9" s="167">
        <f>H9/'Utilisation by Sector'!$Z$15</f>
        <v>1.4231464783281733</v>
      </c>
      <c r="AN9" s="139">
        <f t="shared" si="10"/>
        <v>63.743457977207974</v>
      </c>
      <c r="AO9" s="139">
        <f t="shared" si="11"/>
        <v>65.364288549374024</v>
      </c>
      <c r="AP9" s="139">
        <f t="shared" si="12"/>
        <v>62.964449112978528</v>
      </c>
      <c r="AQ9" s="139">
        <f t="shared" si="13"/>
        <v>72.842993897330615</v>
      </c>
      <c r="AR9" s="139">
        <f t="shared" si="14"/>
        <v>42.269709120732728</v>
      </c>
      <c r="AS9" s="139">
        <f t="shared" si="15"/>
        <v>16.223146478328172</v>
      </c>
      <c r="AT9" s="139">
        <f>Table8[[#This Row],[UCM
Electric water heater
(€/MWh) ]]*'W.F. at Appliance Level'!X9</f>
        <v>63.743457977207974</v>
      </c>
      <c r="AU9" s="139">
        <f>Table8[[#This Row],[UCM
A/C
(€/MWh) ]]*'W.F. at Appliance Level'!Y9+Table8[[#This Row],[UCM
Other elecric appliances
(€/MWh) ]]*'W.F. at Appliance Level'!Z9+Table8[[#This Row],[UCM
heat pumps
(€/MWh) ]]*'W.F. at Appliance Level'!AA9+Table8[[#This Row],[UCM
Oil burner
(€/MWh)]]*'W.F. at Appliance Level'!AB9+Table8[[#This Row],[UCM
Pellet/Wood burner
(€/MWh) ]]*'W.F. at Appliance Level'!AC9</f>
        <v>49.175034511441389</v>
      </c>
      <c r="AV9" s="139">
        <f>Table8[[#This Row],[UCM for water heating
(€/MWh) ]]*'W.F. End-use Level'!Y10+Table8[[#This Row],[UCM for space heating
(€/MWh) ]]*'W.F. End-use Level'!Z10</f>
        <v>53.046726043279783</v>
      </c>
      <c r="AW9" s="167">
        <f>C9/'Utilisation by Sector'!$U$21</f>
        <v>2.6151869658119655</v>
      </c>
      <c r="AX9" s="167">
        <f>D9/'Utilisation by Sector'!$V$21</f>
        <v>6.0557193888732357</v>
      </c>
      <c r="AY9" s="167">
        <f>E9/'Utilisation by Sector'!$W$21</f>
        <v>1.4466736694677873</v>
      </c>
      <c r="AZ9" s="167">
        <f>F9/'Utilisation by Sector'!$X$21</f>
        <v>16.264490845995933</v>
      </c>
      <c r="BA9" s="167">
        <f>G9/'Utilisation by Sector'!$Y$21</f>
        <v>1.3361426284675055</v>
      </c>
      <c r="BB9" s="167">
        <f>H9/'Utilisation by Sector'!$Z$21</f>
        <v>2.1347197174922599</v>
      </c>
      <c r="BC9" s="139">
        <f t="shared" si="16"/>
        <v>64.615186965811972</v>
      </c>
      <c r="BD9" s="139">
        <f t="shared" si="17"/>
        <v>68.055719388873229</v>
      </c>
      <c r="BE9" s="139">
        <f t="shared" si="18"/>
        <v>63.446673669467785</v>
      </c>
      <c r="BF9" s="139">
        <f t="shared" si="19"/>
        <v>78.264490845995937</v>
      </c>
      <c r="BG9" s="139">
        <f t="shared" si="20"/>
        <v>42.715089996888565</v>
      </c>
      <c r="BH9" s="139">
        <f t="shared" si="21"/>
        <v>16.934719717492257</v>
      </c>
      <c r="BI9" s="139">
        <f>Table8[[#This Row],[UCM Electric water heater
(€/MWh)]]*'W.F. at Appliance Level'!X9</f>
        <v>64.615186965811972</v>
      </c>
      <c r="BJ9" s="139">
        <f>Table8[[#This Row],[UCM
A/C
(€/MWh)  ]]*'W.F. at Appliance Level'!Y9+Table8[[#This Row],[UCM
Other elecric appliances
(€/MWh)  ]]*'W.F. at Appliance Level'!Z9+Table8[[#This Row],[UCM
heat pumps
(€/MWh)  ]]*'W.F. at Appliance Level'!AA9+Table8[[#This Row],[UCM
Oil burner
(€/MWh) ]]*'W.F. at Appliance Level'!AB9+Table8[[#This Row],[UCM
Pellet/Wood burner
(€/MWh)  ]]*'W.F. at Appliance Level'!AC9</f>
        <v>51.4925049873125</v>
      </c>
      <c r="BK9" s="139">
        <f>Table8[[#This Row],[UCM for water heating
(€/MWh)  ]]*'W.F. End-use Level'!AA10+Table8[[#This Row],[UCM for space heating
(€/MWh)  ]]*'W.F. End-use Level'!AB10</f>
        <v>54.979977520668825</v>
      </c>
      <c r="BL9" s="134">
        <f>Table8[[#This Row],[Total UCM
(€/MWh)]]*'W.F. at Subsector Level'!H9+Table8[[#This Row],[Total UCM
(€/MWh) ]]*'W.F. at Subsector Level'!I9+Table8[[#This Row],[Total UCM 
(€/MWh)]]*'W.F. at Subsector Level'!J9</f>
        <v>56.029460339278785</v>
      </c>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row>
    <row r="10" spans="1:192" x14ac:dyDescent="0.3">
      <c r="A10" s="147" t="s">
        <v>8</v>
      </c>
      <c r="B10" s="166">
        <f>Table35[[#This Row],[Stove (€/MW)]]</f>
        <v>185000</v>
      </c>
      <c r="C10" s="166">
        <f>Table35[[#This Row],[Electric Water heater (€/MW)]]</f>
        <v>30080</v>
      </c>
      <c r="D10" s="166">
        <f>Table35[[#This Row],[A/C (€/MW)]]</f>
        <v>109063.73626373627</v>
      </c>
      <c r="E10" s="166">
        <f>Table35[[#This Row],[Other electric appliances (€/MW)]]</f>
        <v>29501.545454545452</v>
      </c>
      <c r="F10" s="166">
        <f>Table35[[#This Row],[Heat pumps (€/MW)]]</f>
        <v>466676.67991169979</v>
      </c>
      <c r="G10" s="166">
        <f>Table35[[#This Row],[Oil Burner (€/MW)]]</f>
        <v>6260.4794600938967</v>
      </c>
      <c r="H10" s="166">
        <f>Table35[[#This Row],[Burner (Pellet, wood,…) (€/MW)]]</f>
        <v>14553.654354469061</v>
      </c>
      <c r="I10" s="166">
        <f>'Fuel Prices excl. VAT'!B9</f>
        <v>4.9599999999999998E-2</v>
      </c>
      <c r="J10" s="166">
        <f>'Fuel Prices excl. VAT'!D9</f>
        <v>0.1739</v>
      </c>
      <c r="K10" s="166">
        <f>'Fuel Prices excl. VAT'!F9</f>
        <v>0.10789473684210525</v>
      </c>
      <c r="L10" s="166">
        <f>'Fuel Prices excl. VAT'!H9</f>
        <v>5.5437500000000001E-2</v>
      </c>
      <c r="M10" s="166">
        <f t="shared" si="0"/>
        <v>0.12429999999999999</v>
      </c>
      <c r="N10" s="166">
        <f t="shared" si="1"/>
        <v>5.8294736842105253E-2</v>
      </c>
      <c r="O10" s="166">
        <f t="shared" si="2"/>
        <v>5.8375000000000024E-3</v>
      </c>
      <c r="P10" s="166">
        <f>B10/'Utilisation by Sector'!$T$9</f>
        <v>6.3530219780219781</v>
      </c>
      <c r="Q10" s="166">
        <f>C10/'Utilisation by Sector'!$T$9</f>
        <v>1.0329670329670331</v>
      </c>
      <c r="R10" s="166">
        <f>D10/'Utilisation by Sector'!$V$9</f>
        <v>3.7453206134524817</v>
      </c>
      <c r="S10" s="166">
        <f>E10/'Utilisation by Sector'!$W$9</f>
        <v>2.2135013096147547</v>
      </c>
      <c r="T10" s="166">
        <f>F10/'Utilisation by Sector'!$X$9</f>
        <v>16.340219884863437</v>
      </c>
      <c r="U10" s="166">
        <f>G10/'Utilisation by Sector'!$Y$9</f>
        <v>0.16440334716633132</v>
      </c>
      <c r="V10" s="166">
        <f>H10/'Utilisation by Sector'!$Z$9</f>
        <v>0.38218630132534298</v>
      </c>
      <c r="W10" s="138">
        <f t="shared" si="3"/>
        <v>130.65302197802197</v>
      </c>
      <c r="X10" s="138">
        <f t="shared" si="4"/>
        <v>125.33296703296703</v>
      </c>
      <c r="Y10" s="138">
        <f t="shared" si="5"/>
        <v>128.04532061345247</v>
      </c>
      <c r="Z10" s="138">
        <f t="shared" si="6"/>
        <v>126.51350130961475</v>
      </c>
      <c r="AA10" s="138">
        <f t="shared" si="7"/>
        <v>140.64021988486343</v>
      </c>
      <c r="AB10" s="138">
        <f t="shared" si="8"/>
        <v>58.459140189271579</v>
      </c>
      <c r="AC10" s="138">
        <f t="shared" si="9"/>
        <v>6.2196863013253454</v>
      </c>
      <c r="AD10" s="138">
        <f>Table8[[#This Row],[UCM
Stove
(€/MWh)]]*'W.F. at Appliance Level'!P10</f>
        <v>130.65302197802197</v>
      </c>
      <c r="AE10" s="138">
        <f>Table8[[#This Row],[UCM
Electric water heater
(€/MWh)]]*'W.F. at Appliance Level'!Q10</f>
        <v>125.33296703296703</v>
      </c>
      <c r="AF10" s="138">
        <f>Table8[[#This Row],[UCM
A/C
(€/MWh)]]*'W.F. at Appliance Level'!R10+Table8[[#This Row],[UCM
Other elecric appliances
(€/MWh)]]*'W.F. at Appliance Level'!S10+Table8[[#This Row],[UCM
heat pumps
(€/MWh)]]*'W.F. at Appliance Level'!T10+Table8[[#This Row],[UCM
Oil burner 
(€/MWh)]]*'W.F. at Appliance Level'!U10+Table8[[#This Row],[UCM
Pellet/Wood burner
(€/MWh)]]*'W.F. at Appliance Level'!V10</f>
        <v>91.975573659705532</v>
      </c>
      <c r="AG10" s="138">
        <f>Table8[[#This Row],[UCM for cooking
(€/MWh)]]*'W.F. End-use Level'!V11+Table8[[#This Row],[UCM for water heating
(€/MWh)]]*'W.F. End-use Level'!W11+Table8[[#This Row],[UCM for space heating
(€/MWh)]]*'W.F. End-use Level'!X11</f>
        <v>98.134614260165876</v>
      </c>
      <c r="AH10" s="166">
        <f>C10/'Utilisation by Sector'!$U$15</f>
        <v>0.96410256410256412</v>
      </c>
      <c r="AI10" s="166">
        <f>D10/'Utilisation by Sector'!$V$15</f>
        <v>2.9130271437963748</v>
      </c>
      <c r="AJ10" s="166">
        <f>E10/'Utilisation by Sector'!$W$15</f>
        <v>2.065934555640438</v>
      </c>
      <c r="AK10" s="166">
        <f>F10/'Utilisation by Sector'!$X$15</f>
        <v>15.250871892539209</v>
      </c>
      <c r="AL10" s="166">
        <f>G10/'Utilisation by Sector'!$Y$15</f>
        <v>0.15344312402190924</v>
      </c>
      <c r="AM10" s="166">
        <f>H10/'Utilisation by Sector'!$Z$15</f>
        <v>0.35670721457032012</v>
      </c>
      <c r="AN10" s="138">
        <f t="shared" si="10"/>
        <v>125.26410256410256</v>
      </c>
      <c r="AO10" s="138">
        <f t="shared" si="11"/>
        <v>127.21302714379637</v>
      </c>
      <c r="AP10" s="138">
        <f t="shared" si="12"/>
        <v>126.36593455564044</v>
      </c>
      <c r="AQ10" s="138">
        <f t="shared" si="13"/>
        <v>139.55087189253919</v>
      </c>
      <c r="AR10" s="138">
        <f t="shared" si="14"/>
        <v>58.448179966127164</v>
      </c>
      <c r="AS10" s="138">
        <f t="shared" si="15"/>
        <v>6.194207214570322</v>
      </c>
      <c r="AT10" s="138">
        <f>Table8[[#This Row],[UCM
Electric water heater
(€/MWh) ]]*'W.F. at Appliance Level'!X10</f>
        <v>125.26410256410256</v>
      </c>
      <c r="AU10" s="138">
        <f>Table8[[#This Row],[UCM
A/C
(€/MWh) ]]*'W.F. at Appliance Level'!Y10+Table8[[#This Row],[UCM
Other elecric appliances
(€/MWh) ]]*'W.F. at Appliance Level'!Z10+Table8[[#This Row],[UCM
heat pumps
(€/MWh) ]]*'W.F. at Appliance Level'!AA10+Table8[[#This Row],[UCM
Oil burner
(€/MWh)]]*'W.F. at Appliance Level'!AB10+Table8[[#This Row],[UCM
Pellet/Wood burner
(€/MWh) ]]*'W.F. at Appliance Level'!AC10</f>
        <v>82.851571554258257</v>
      </c>
      <c r="AV10" s="138">
        <f>Table8[[#This Row],[UCM for water heating
(€/MWh) ]]*'W.F. End-use Level'!Y11+Table8[[#This Row],[UCM for space heating
(€/MWh) ]]*'W.F. End-use Level'!Z11</f>
        <v>90.516486797001193</v>
      </c>
      <c r="AW10" s="166">
        <f>C10/'Utilisation by Sector'!$U$21</f>
        <v>1.4461538461538461</v>
      </c>
      <c r="AX10" s="166">
        <f>D10/'Utilisation by Sector'!$V$21</f>
        <v>5.2434488588334744</v>
      </c>
      <c r="AY10" s="166">
        <f>E10/'Utilisation by Sector'!$W$21</f>
        <v>3.0989018334606566</v>
      </c>
      <c r="AZ10" s="166">
        <f>F10/'Utilisation by Sector'!$X$21</f>
        <v>22.876307838808813</v>
      </c>
      <c r="BA10" s="166">
        <f>G10/'Utilisation by Sector'!$Y$21</f>
        <v>0.23016468603286386</v>
      </c>
      <c r="BB10" s="166">
        <f>H10/'Utilisation by Sector'!$Z$21</f>
        <v>0.53506082185548021</v>
      </c>
      <c r="BC10" s="138">
        <f t="shared" si="16"/>
        <v>125.74615384615385</v>
      </c>
      <c r="BD10" s="138">
        <f t="shared" si="17"/>
        <v>129.54344885883347</v>
      </c>
      <c r="BE10" s="138">
        <f t="shared" si="18"/>
        <v>127.39890183346066</v>
      </c>
      <c r="BF10" s="138">
        <f t="shared" si="19"/>
        <v>147.17630783880881</v>
      </c>
      <c r="BG10" s="138">
        <f t="shared" si="20"/>
        <v>58.524901528138116</v>
      </c>
      <c r="BH10" s="138">
        <f t="shared" si="21"/>
        <v>6.3725608218554823</v>
      </c>
      <c r="BI10" s="138">
        <f>Table8[[#This Row],[UCM Electric water heater
(€/MWh)]]*'W.F. at Appliance Level'!X10</f>
        <v>125.74615384615385</v>
      </c>
      <c r="BJ10" s="138">
        <f>Table8[[#This Row],[UCM
A/C
(€/MWh)  ]]*'W.F. at Appliance Level'!Y10+Table8[[#This Row],[UCM
Other elecric appliances
(€/MWh)  ]]*'W.F. at Appliance Level'!Z10+Table8[[#This Row],[UCM
heat pumps
(€/MWh)  ]]*'W.F. at Appliance Level'!AA10+Table8[[#This Row],[UCM
Oil burner
(€/MWh) ]]*'W.F. at Appliance Level'!AB10+Table8[[#This Row],[UCM
Pellet/Wood burner
(€/MWh)  ]]*'W.F. at Appliance Level'!AC10</f>
        <v>85.404304761908975</v>
      </c>
      <c r="BK10" s="138">
        <f>Table8[[#This Row],[UCM for water heating
(€/MWh)  ]]*'W.F. End-use Level'!AA11+Table8[[#This Row],[UCM for space heating
(€/MWh)  ]]*'W.F. End-use Level'!AB11</f>
        <v>92.695000379543586</v>
      </c>
      <c r="BL10" s="133">
        <f>Table8[[#This Row],[Total UCM
(€/MWh)]]*'W.F. at Subsector Level'!H10+Table8[[#This Row],[Total UCM
(€/MWh) ]]*'W.F. at Subsector Level'!I10+Table8[[#This Row],[Total UCM 
(€/MWh)]]*'W.F. at Subsector Level'!J10</f>
        <v>93.782033812236904</v>
      </c>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row>
    <row r="11" spans="1:192" x14ac:dyDescent="0.3">
      <c r="A11" s="147" t="s">
        <v>9</v>
      </c>
      <c r="B11" s="167">
        <f>Table35[[#This Row],[Stove (€/MW)]]</f>
        <v>272666.66666666669</v>
      </c>
      <c r="C11" s="167">
        <f>Table35[[#This Row],[Electric Water heater (€/MW)]]</f>
        <v>73669.666666666657</v>
      </c>
      <c r="D11" s="167">
        <f>Table35[[#This Row],[A/C (€/MW)]]</f>
        <v>137665.08677606346</v>
      </c>
      <c r="E11" s="167">
        <f>Table35[[#This Row],[Other electric appliances (€/MW)]]</f>
        <v>21909.579999999998</v>
      </c>
      <c r="F11" s="167">
        <f>Table35[[#This Row],[Heat pumps (€/MW)]]</f>
        <v>364239.75495103037</v>
      </c>
      <c r="G11" s="167">
        <f>Table35[[#This Row],[Oil Burner (€/MW)]]</f>
        <v>6260.4794600938967</v>
      </c>
      <c r="H11" s="167">
        <f>Table35[[#This Row],[Burner (Pellet, wood,…) (€/MW)]]</f>
        <v>105171.75608498839</v>
      </c>
      <c r="I11" s="167">
        <f>'Fuel Prices excl. VAT'!B10</f>
        <v>6.0299999999999999E-2</v>
      </c>
      <c r="J11" s="167">
        <f>'Fuel Prices excl. VAT'!D10</f>
        <v>0.1943</v>
      </c>
      <c r="K11" s="167">
        <f>'Fuel Prices excl. VAT'!F10</f>
        <v>0.13303473684210526</v>
      </c>
      <c r="L11" s="167">
        <f>'Fuel Prices excl. VAT'!H10</f>
        <v>5.6020833333333332E-2</v>
      </c>
      <c r="M11" s="167">
        <f t="shared" si="0"/>
        <v>0.13400000000000001</v>
      </c>
      <c r="N11" s="167">
        <f t="shared" si="1"/>
        <v>7.2734736842105269E-2</v>
      </c>
      <c r="O11" s="167">
        <f t="shared" si="2"/>
        <v>-4.2791666666666672E-3</v>
      </c>
      <c r="P11" s="167">
        <f>B11/'Utilisation by Sector'!$T$9</f>
        <v>9.3635531135531149</v>
      </c>
      <c r="Q11" s="167">
        <f>C11/'Utilisation by Sector'!$T$9</f>
        <v>2.5298649267399265</v>
      </c>
      <c r="R11" s="167">
        <f>D11/'Utilisation by Sector'!$V$9</f>
        <v>4.7275098480791025</v>
      </c>
      <c r="S11" s="167">
        <f>E11/'Utilisation by Sector'!$W$9</f>
        <v>1.6438760504201679</v>
      </c>
      <c r="T11" s="167">
        <f>F11/'Utilisation by Sector'!$X$9</f>
        <v>12.753492820414229</v>
      </c>
      <c r="U11" s="167">
        <f>G11/'Utilisation by Sector'!$Y$9</f>
        <v>0.16440334716633132</v>
      </c>
      <c r="V11" s="167">
        <f>H11/'Utilisation by Sector'!$Z$9</f>
        <v>2.7618633425679722</v>
      </c>
      <c r="W11" s="139">
        <f t="shared" si="3"/>
        <v>143.36355311355311</v>
      </c>
      <c r="X11" s="139">
        <f t="shared" si="4"/>
        <v>136.52986492673992</v>
      </c>
      <c r="Y11" s="139">
        <f t="shared" si="5"/>
        <v>138.72750984807911</v>
      </c>
      <c r="Z11" s="139">
        <f t="shared" si="6"/>
        <v>135.64387605042018</v>
      </c>
      <c r="AA11" s="139">
        <f t="shared" si="7"/>
        <v>146.75349282041424</v>
      </c>
      <c r="AB11" s="139">
        <f t="shared" si="8"/>
        <v>72.899140189271591</v>
      </c>
      <c r="AC11" s="139">
        <f t="shared" si="9"/>
        <v>-1.5173033240986946</v>
      </c>
      <c r="AD11" s="139">
        <f>Table8[[#This Row],[UCM
Stove
(€/MWh)]]*'W.F. at Appliance Level'!P11</f>
        <v>143.36355311355311</v>
      </c>
      <c r="AE11" s="139">
        <f>Table8[[#This Row],[UCM
Electric water heater
(€/MWh)]]*'W.F. at Appliance Level'!Q11</f>
        <v>136.52986492673992</v>
      </c>
      <c r="AF11" s="139">
        <f>Table8[[#This Row],[UCM
A/C
(€/MWh)]]*'W.F. at Appliance Level'!R11+Table8[[#This Row],[UCM
Other elecric appliances
(€/MWh)]]*'W.F. at Appliance Level'!S11+Table8[[#This Row],[UCM
heat pumps
(€/MWh)]]*'W.F. at Appliance Level'!T11+Table8[[#This Row],[UCM
Oil burner 
(€/MWh)]]*'W.F. at Appliance Level'!U11+Table8[[#This Row],[UCM
Pellet/Wood burner
(€/MWh)]]*'W.F. at Appliance Level'!V11</f>
        <v>98.501343116817281</v>
      </c>
      <c r="AG11" s="139">
        <f>Table8[[#This Row],[UCM for cooking
(€/MWh)]]*'W.F. End-use Level'!V12+Table8[[#This Row],[UCM for water heating
(€/MWh)]]*'W.F. End-use Level'!W12+Table8[[#This Row],[UCM for space heating
(€/MWh)]]*'W.F. End-use Level'!X12</f>
        <v>109.33259871051203</v>
      </c>
      <c r="AH11" s="167">
        <f>C11/'Utilisation by Sector'!$U$15</f>
        <v>2.3612072649572649</v>
      </c>
      <c r="AI11" s="167">
        <f>D11/'Utilisation by Sector'!$V$15</f>
        <v>3.6769521040615238</v>
      </c>
      <c r="AJ11" s="167">
        <f>E11/'Utilisation by Sector'!$W$15</f>
        <v>1.53428431372549</v>
      </c>
      <c r="AK11" s="167">
        <f>F11/'Utilisation by Sector'!$X$15</f>
        <v>11.903259965719947</v>
      </c>
      <c r="AL11" s="167">
        <f>G11/'Utilisation by Sector'!$Y$15</f>
        <v>0.15344312402190924</v>
      </c>
      <c r="AM11" s="167">
        <f>H11/'Utilisation by Sector'!$Z$15</f>
        <v>2.5777391197301074</v>
      </c>
      <c r="AN11" s="139">
        <f t="shared" si="10"/>
        <v>136.36120726495727</v>
      </c>
      <c r="AO11" s="139">
        <f t="shared" si="11"/>
        <v>137.67695210406151</v>
      </c>
      <c r="AP11" s="139">
        <f t="shared" si="12"/>
        <v>135.53428431372549</v>
      </c>
      <c r="AQ11" s="139">
        <f t="shared" si="13"/>
        <v>145.90325996571994</v>
      </c>
      <c r="AR11" s="139">
        <f t="shared" si="14"/>
        <v>72.888179966127169</v>
      </c>
      <c r="AS11" s="139">
        <f t="shared" si="15"/>
        <v>-1.7014275469365594</v>
      </c>
      <c r="AT11" s="139">
        <f>Table8[[#This Row],[UCM
Electric water heater
(€/MWh) ]]*'W.F. at Appliance Level'!X11</f>
        <v>136.36120726495727</v>
      </c>
      <c r="AU11" s="139">
        <f>Table8[[#This Row],[UCM
A/C
(€/MWh) ]]*'W.F. at Appliance Level'!Y11+Table8[[#This Row],[UCM
Other elecric appliances
(€/MWh) ]]*'W.F. at Appliance Level'!Z11+Table8[[#This Row],[UCM
heat pumps
(€/MWh) ]]*'W.F. at Appliance Level'!AA11+Table8[[#This Row],[UCM
Oil burner
(€/MWh)]]*'W.F. at Appliance Level'!AB11+Table8[[#This Row],[UCM
Pellet/Wood burner
(€/MWh) ]]*'W.F. at Appliance Level'!AC11</f>
        <v>88.691741122243016</v>
      </c>
      <c r="AV11" s="139">
        <f>Table8[[#This Row],[UCM for water heating
(€/MWh) ]]*'W.F. End-use Level'!Y12+Table8[[#This Row],[UCM for space heating
(€/MWh) ]]*'W.F. End-use Level'!Z12</f>
        <v>101.24250065044248</v>
      </c>
      <c r="AW11" s="167">
        <f>C11/'Utilisation by Sector'!$U$21</f>
        <v>3.5418108974358971</v>
      </c>
      <c r="AX11" s="167">
        <f>D11/'Utilisation by Sector'!$V$21</f>
        <v>6.6185137873107429</v>
      </c>
      <c r="AY11" s="167">
        <f>E11/'Utilisation by Sector'!$W$21</f>
        <v>2.3014264705882352</v>
      </c>
      <c r="AZ11" s="167">
        <f>F11/'Utilisation by Sector'!$X$21</f>
        <v>17.85488994857992</v>
      </c>
      <c r="BA11" s="167">
        <f>G11/'Utilisation by Sector'!$Y$21</f>
        <v>0.23016468603286386</v>
      </c>
      <c r="BB11" s="167">
        <f>H11/'Utilisation by Sector'!$Z$21</f>
        <v>3.8666086795951613</v>
      </c>
      <c r="BC11" s="139">
        <f t="shared" si="16"/>
        <v>137.54181089743591</v>
      </c>
      <c r="BD11" s="139">
        <f t="shared" si="17"/>
        <v>140.61851378731075</v>
      </c>
      <c r="BE11" s="139">
        <f t="shared" si="18"/>
        <v>136.30142647058824</v>
      </c>
      <c r="BF11" s="139">
        <f t="shared" si="19"/>
        <v>151.85488994857991</v>
      </c>
      <c r="BG11" s="139">
        <f t="shared" si="20"/>
        <v>72.964901528138128</v>
      </c>
      <c r="BH11" s="139">
        <f t="shared" si="21"/>
        <v>-0.41255798707150548</v>
      </c>
      <c r="BI11" s="139">
        <f>Table8[[#This Row],[UCM Electric water heater
(€/MWh)]]*'W.F. at Appliance Level'!X11</f>
        <v>137.54181089743591</v>
      </c>
      <c r="BJ11" s="139">
        <f>Table8[[#This Row],[UCM
A/C
(€/MWh)  ]]*'W.F. at Appliance Level'!Y11+Table8[[#This Row],[UCM
Other elecric appliances
(€/MWh)  ]]*'W.F. at Appliance Level'!Z11+Table8[[#This Row],[UCM
heat pumps
(€/MWh)  ]]*'W.F. at Appliance Level'!AA11+Table8[[#This Row],[UCM
Oil burner
(€/MWh) ]]*'W.F. at Appliance Level'!AB11+Table8[[#This Row],[UCM
Pellet/Wood burner
(€/MWh)  ]]*'W.F. at Appliance Level'!AC11</f>
        <v>91.256436819239312</v>
      </c>
      <c r="BK11" s="139">
        <f>Table8[[#This Row],[UCM for water heating
(€/MWh)  ]]*'W.F. End-use Level'!AA12+Table8[[#This Row],[UCM for space heating
(€/MWh)  ]]*'W.F. End-use Level'!AB12</f>
        <v>103.44278264465798</v>
      </c>
      <c r="BL11" s="134">
        <f>Table8[[#This Row],[Total UCM
(€/MWh)]]*'W.F. at Subsector Level'!H11+Table8[[#This Row],[Total UCM
(€/MWh) ]]*'W.F. at Subsector Level'!I11+Table8[[#This Row],[Total UCM 
(€/MWh)]]*'W.F. at Subsector Level'!J11</f>
        <v>104.6726273352042</v>
      </c>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row>
    <row r="12" spans="1:192" x14ac:dyDescent="0.3">
      <c r="A12" s="147" t="s">
        <v>10</v>
      </c>
      <c r="B12" s="166">
        <f>Table35[[#This Row],[Stove (€/MW)]]</f>
        <v>172927.17889908256</v>
      </c>
      <c r="C12" s="166">
        <f>Table35[[#This Row],[Electric Water heater (€/MW)]]</f>
        <v>41066.570048309179</v>
      </c>
      <c r="D12" s="166">
        <f>Table35[[#This Row],[A/C (€/MW)]]</f>
        <v>101128.10387193602</v>
      </c>
      <c r="E12" s="166">
        <f>Table35[[#This Row],[Other electric appliances (€/MW)]]</f>
        <v>14424.669222222225</v>
      </c>
      <c r="F12" s="166">
        <f>Table35[[#This Row],[Heat pumps (€/MW)]]</f>
        <v>364239.75495103037</v>
      </c>
      <c r="G12" s="166">
        <f>Table35[[#This Row],[Oil Burner (€/MW)]]</f>
        <v>6260.4794600938967</v>
      </c>
      <c r="H12" s="166">
        <f>Table35[[#This Row],[Burner (Pellet, wood,…) (€/MW)]]</f>
        <v>105171.75608498839</v>
      </c>
      <c r="I12" s="166">
        <f>'Fuel Prices excl. VAT'!B11</f>
        <v>5.5100000000000003E-2</v>
      </c>
      <c r="J12" s="166">
        <f>'Fuel Prices excl. VAT'!D11</f>
        <v>0.1898</v>
      </c>
      <c r="K12" s="166">
        <f>'Fuel Prices excl. VAT'!F11</f>
        <v>7.567368421052631E-2</v>
      </c>
      <c r="L12" s="166">
        <f>'Fuel Prices excl. VAT'!H11</f>
        <v>4.4999999999999998E-2</v>
      </c>
      <c r="M12" s="166">
        <f t="shared" si="0"/>
        <v>0.13469999999999999</v>
      </c>
      <c r="N12" s="166">
        <f t="shared" si="1"/>
        <v>2.0573684210526307E-2</v>
      </c>
      <c r="O12" s="166">
        <f t="shared" si="2"/>
        <v>-1.0100000000000005E-2</v>
      </c>
      <c r="P12" s="166">
        <f>B12/'Utilisation by Sector'!$T$9</f>
        <v>5.9384333413146484</v>
      </c>
      <c r="Q12" s="166">
        <f>C12/'Utilisation by Sector'!$T$9</f>
        <v>1.4102530923183096</v>
      </c>
      <c r="R12" s="166">
        <f>D12/'Utilisation by Sector'!$V$9</f>
        <v>3.4728057648329678</v>
      </c>
      <c r="S12" s="166">
        <f>E12/'Utilisation by Sector'!$W$9</f>
        <v>1.0822831049086303</v>
      </c>
      <c r="T12" s="166">
        <f>F12/'Utilisation by Sector'!$X$9</f>
        <v>12.753492820414229</v>
      </c>
      <c r="U12" s="166">
        <f>G12/'Utilisation by Sector'!$Y$9</f>
        <v>0.16440334716633132</v>
      </c>
      <c r="V12" s="166">
        <f>H12/'Utilisation by Sector'!$Z$9</f>
        <v>2.7618633425679722</v>
      </c>
      <c r="W12" s="138">
        <f t="shared" si="3"/>
        <v>140.63843334131462</v>
      </c>
      <c r="X12" s="138">
        <f t="shared" si="4"/>
        <v>136.11025309231829</v>
      </c>
      <c r="Y12" s="138">
        <f t="shared" si="5"/>
        <v>138.17280576483296</v>
      </c>
      <c r="Z12" s="138">
        <f t="shared" si="6"/>
        <v>135.78228310490863</v>
      </c>
      <c r="AA12" s="138">
        <f t="shared" si="7"/>
        <v>147.45349282041423</v>
      </c>
      <c r="AB12" s="138">
        <f t="shared" si="8"/>
        <v>20.738087557692637</v>
      </c>
      <c r="AC12" s="138">
        <f t="shared" si="9"/>
        <v>-7.3381366574320328</v>
      </c>
      <c r="AD12" s="138">
        <f>Table8[[#This Row],[UCM
Stove
(€/MWh)]]*'W.F. at Appliance Level'!P12</f>
        <v>140.63843334131462</v>
      </c>
      <c r="AE12" s="138">
        <f>Table8[[#This Row],[UCM
Electric water heater
(€/MWh)]]*'W.F. at Appliance Level'!Q12</f>
        <v>136.11025309231829</v>
      </c>
      <c r="AF12" s="138">
        <f>Table8[[#This Row],[UCM
A/C
(€/MWh)]]*'W.F. at Appliance Level'!R12+Table8[[#This Row],[UCM
Other elecric appliances
(€/MWh)]]*'W.F. at Appliance Level'!S12+Table8[[#This Row],[UCM
heat pumps
(€/MWh)]]*'W.F. at Appliance Level'!T12+Table8[[#This Row],[UCM
Oil burner 
(€/MWh)]]*'W.F. at Appliance Level'!U12+Table8[[#This Row],[UCM
Pellet/Wood burner
(€/MWh)]]*'W.F. at Appliance Level'!V12</f>
        <v>86.96170651808329</v>
      </c>
      <c r="AG12" s="138">
        <f>Table8[[#This Row],[UCM for cooking
(€/MWh)]]*'W.F. End-use Level'!V13+Table8[[#This Row],[UCM for water heating
(€/MWh)]]*'W.F. End-use Level'!W13+Table8[[#This Row],[UCM for space heating
(€/MWh)]]*'W.F. End-use Level'!X13</f>
        <v>101.78506525425452</v>
      </c>
      <c r="AH12" s="166">
        <f>C12/'Utilisation by Sector'!$U$15</f>
        <v>1.3162362194970891</v>
      </c>
      <c r="AI12" s="166">
        <f>D12/'Utilisation by Sector'!$V$15</f>
        <v>2.7010711504256415</v>
      </c>
      <c r="AJ12" s="166">
        <f>E12/'Utilisation by Sector'!$W$15</f>
        <v>1.0101308979147217</v>
      </c>
      <c r="AK12" s="166">
        <f>F12/'Utilisation by Sector'!$X$15</f>
        <v>11.903259965719947</v>
      </c>
      <c r="AL12" s="166">
        <f>G12/'Utilisation by Sector'!$Y$15</f>
        <v>0.15344312402190924</v>
      </c>
      <c r="AM12" s="166">
        <f>H12/'Utilisation by Sector'!$Z$15</f>
        <v>2.5777391197301074</v>
      </c>
      <c r="AN12" s="138">
        <f t="shared" si="10"/>
        <v>136.01623621949707</v>
      </c>
      <c r="AO12" s="138">
        <f t="shared" si="11"/>
        <v>137.40107115042562</v>
      </c>
      <c r="AP12" s="138">
        <f t="shared" si="12"/>
        <v>135.71013089791472</v>
      </c>
      <c r="AQ12" s="138">
        <f t="shared" si="13"/>
        <v>146.60325996571993</v>
      </c>
      <c r="AR12" s="138">
        <f t="shared" si="14"/>
        <v>20.727127334548214</v>
      </c>
      <c r="AS12" s="138">
        <f t="shared" si="15"/>
        <v>-7.5222608802698971</v>
      </c>
      <c r="AT12" s="138">
        <f>Table8[[#This Row],[UCM
Electric water heater
(€/MWh) ]]*'W.F. at Appliance Level'!X12</f>
        <v>136.01623621949707</v>
      </c>
      <c r="AU12" s="138">
        <f>Table8[[#This Row],[UCM
A/C
(€/MWh) ]]*'W.F. at Appliance Level'!Y12+Table8[[#This Row],[UCM
Other elecric appliances
(€/MWh) ]]*'W.F. at Appliance Level'!Z12+Table8[[#This Row],[UCM
heat pumps
(€/MWh) ]]*'W.F. at Appliance Level'!AA12+Table8[[#This Row],[UCM
Oil burner
(€/MWh)]]*'W.F. at Appliance Level'!AB12+Table8[[#This Row],[UCM
Pellet/Wood burner
(€/MWh) ]]*'W.F. at Appliance Level'!AC12</f>
        <v>74.30229939260596</v>
      </c>
      <c r="AV12" s="138">
        <f>Table8[[#This Row],[UCM for water heating
(€/MWh) ]]*'W.F. End-use Level'!Y13+Table8[[#This Row],[UCM for space heating
(€/MWh) ]]*'W.F. End-use Level'!Z13</f>
        <v>88.784073607435971</v>
      </c>
      <c r="AW12" s="166">
        <f>C12/'Utilisation by Sector'!$U$21</f>
        <v>1.9743543292456336</v>
      </c>
      <c r="AX12" s="166">
        <f>D12/'Utilisation by Sector'!$V$21</f>
        <v>4.8619280707661545</v>
      </c>
      <c r="AY12" s="166">
        <f>E12/'Utilisation by Sector'!$W$21</f>
        <v>1.5151963468720824</v>
      </c>
      <c r="AZ12" s="166">
        <f>F12/'Utilisation by Sector'!$X$21</f>
        <v>17.85488994857992</v>
      </c>
      <c r="BA12" s="166">
        <f>G12/'Utilisation by Sector'!$Y$21</f>
        <v>0.23016468603286386</v>
      </c>
      <c r="BB12" s="166">
        <f>H12/'Utilisation by Sector'!$Z$21</f>
        <v>3.8666086795951613</v>
      </c>
      <c r="BC12" s="138">
        <f t="shared" si="16"/>
        <v>136.67435432924563</v>
      </c>
      <c r="BD12" s="138">
        <f t="shared" si="17"/>
        <v>139.56192807076616</v>
      </c>
      <c r="BE12" s="138">
        <f t="shared" si="18"/>
        <v>136.21519634687206</v>
      </c>
      <c r="BF12" s="138">
        <f t="shared" si="19"/>
        <v>152.5548899485799</v>
      </c>
      <c r="BG12" s="138">
        <f t="shared" si="20"/>
        <v>20.80384889655917</v>
      </c>
      <c r="BH12" s="138">
        <f t="shared" si="21"/>
        <v>-6.2333913204048432</v>
      </c>
      <c r="BI12" s="138">
        <f>Table8[[#This Row],[UCM Electric water heater
(€/MWh)]]*'W.F. at Appliance Level'!X12</f>
        <v>136.67435432924563</v>
      </c>
      <c r="BJ12" s="138">
        <f>Table8[[#This Row],[UCM
A/C
(€/MWh)  ]]*'W.F. at Appliance Level'!Y12+Table8[[#This Row],[UCM
Other elecric appliances
(€/MWh)  ]]*'W.F. at Appliance Level'!Z12+Table8[[#This Row],[UCM
heat pumps
(€/MWh)  ]]*'W.F. at Appliance Level'!AA12+Table8[[#This Row],[UCM
Oil burner
(€/MWh) ]]*'W.F. at Appliance Level'!AB12+Table8[[#This Row],[UCM
Pellet/Wood burner
(€/MWh)  ]]*'W.F. at Appliance Level'!AC12</f>
        <v>76.671818898875088</v>
      </c>
      <c r="BK12" s="138">
        <f>Table8[[#This Row],[UCM for water heating
(€/MWh)  ]]*'W.F. End-use Level'!AA13+Table8[[#This Row],[UCM for space heating
(€/MWh)  ]]*'W.F. End-use Level'!AB13</f>
        <v>90.751996166732241</v>
      </c>
      <c r="BL12" s="133">
        <f>Table8[[#This Row],[Total UCM
(€/MWh)]]*'W.F. at Subsector Level'!H12+Table8[[#This Row],[Total UCM
(€/MWh) ]]*'W.F. at Subsector Level'!I12+Table8[[#This Row],[Total UCM 
(€/MWh)]]*'W.F. at Subsector Level'!J12</f>
        <v>93.77371167614092</v>
      </c>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row>
    <row r="13" spans="1:192" x14ac:dyDescent="0.3">
      <c r="A13" s="147" t="s">
        <v>11</v>
      </c>
      <c r="B13" s="167">
        <f>Table35[[#This Row],[Stove (€/MW)]]</f>
        <v>172927.17889908256</v>
      </c>
      <c r="C13" s="167">
        <f>Table35[[#This Row],[Electric Water heater (€/MW)]]</f>
        <v>71777.777777777766</v>
      </c>
      <c r="D13" s="167">
        <f>Table35[[#This Row],[A/C (€/MW)]]</f>
        <v>143957.2585978836</v>
      </c>
      <c r="E13" s="167">
        <f>Table35[[#This Row],[Other electric appliances (€/MW)]]</f>
        <v>18433.333333333336</v>
      </c>
      <c r="F13" s="167">
        <f>Table35[[#This Row],[Heat pumps (€/MW)]]</f>
        <v>371866.66666666669</v>
      </c>
      <c r="G13" s="167">
        <f>Table35[[#This Row],[Oil Burner (€/MW)]]</f>
        <v>16062.5</v>
      </c>
      <c r="H13" s="167">
        <f>Table35[[#This Row],[Burner (Pellet, wood,…) (€/MW)]]</f>
        <v>260224.60623593698</v>
      </c>
      <c r="I13" s="167">
        <f>'Fuel Prices excl. VAT'!B12</f>
        <v>6.2899999999999998E-2</v>
      </c>
      <c r="J13" s="167">
        <f>'Fuel Prices excl. VAT'!D12</f>
        <v>0.1857</v>
      </c>
      <c r="K13" s="167">
        <f>'Fuel Prices excl. VAT'!F12</f>
        <v>0.11926315789473685</v>
      </c>
      <c r="L13" s="167">
        <f>'Fuel Prices excl. VAT'!H12</f>
        <v>4.4999999999999998E-2</v>
      </c>
      <c r="M13" s="167">
        <f t="shared" si="0"/>
        <v>0.12280000000000001</v>
      </c>
      <c r="N13" s="167">
        <f t="shared" si="1"/>
        <v>5.6363157894736851E-2</v>
      </c>
      <c r="O13" s="167">
        <f t="shared" si="2"/>
        <v>-1.7899999999999999E-2</v>
      </c>
      <c r="P13" s="167">
        <f>B13/'Utilisation by Sector'!$T$9</f>
        <v>5.9384333413146484</v>
      </c>
      <c r="Q13" s="167">
        <f>C13/'Utilisation by Sector'!$T$9</f>
        <v>2.4648962148962146</v>
      </c>
      <c r="R13" s="167">
        <f>D13/'Utilisation by Sector'!$V$9</f>
        <v>4.9435871771251234</v>
      </c>
      <c r="S13" s="167">
        <f>E13/'Utilisation by Sector'!$W$9</f>
        <v>1.3830532212885156</v>
      </c>
      <c r="T13" s="167">
        <f>F13/'Utilisation by Sector'!$X$9</f>
        <v>13.020541549953315</v>
      </c>
      <c r="U13" s="167">
        <f>G13/'Utilisation by Sector'!$Y$9</f>
        <v>0.42180934873949577</v>
      </c>
      <c r="V13" s="167">
        <f>H13/'Utilisation by Sector'!$Z$9</f>
        <v>6.8336293654395215</v>
      </c>
      <c r="W13" s="139">
        <f t="shared" si="3"/>
        <v>128.73843334131465</v>
      </c>
      <c r="X13" s="139">
        <f t="shared" si="4"/>
        <v>125.26489621489623</v>
      </c>
      <c r="Y13" s="139">
        <f t="shared" si="5"/>
        <v>127.74358717712514</v>
      </c>
      <c r="Z13" s="139">
        <f t="shared" si="6"/>
        <v>124.18305322128853</v>
      </c>
      <c r="AA13" s="139">
        <f t="shared" si="7"/>
        <v>135.82054154995333</v>
      </c>
      <c r="AB13" s="139">
        <f t="shared" si="8"/>
        <v>56.784967243476345</v>
      </c>
      <c r="AC13" s="139">
        <f t="shared" si="9"/>
        <v>-11.066370634560478</v>
      </c>
      <c r="AD13" s="139">
        <f>Table8[[#This Row],[UCM
Stove
(€/MWh)]]*'W.F. at Appliance Level'!P13</f>
        <v>128.73843334131465</v>
      </c>
      <c r="AE13" s="139">
        <f>Table8[[#This Row],[UCM
Electric water heater
(€/MWh)]]*'W.F. at Appliance Level'!Q13</f>
        <v>125.26489621489623</v>
      </c>
      <c r="AF13" s="139">
        <f>Table8[[#This Row],[UCM
A/C
(€/MWh)]]*'W.F. at Appliance Level'!R13+Table8[[#This Row],[UCM
Other elecric appliances
(€/MWh)]]*'W.F. at Appliance Level'!S13+Table8[[#This Row],[UCM
heat pumps
(€/MWh)]]*'W.F. at Appliance Level'!T13+Table8[[#This Row],[UCM
Oil burner 
(€/MWh)]]*'W.F. at Appliance Level'!U13+Table8[[#This Row],[UCM
Pellet/Wood burner
(€/MWh)]]*'W.F. at Appliance Level'!V13</f>
        <v>86.693155711456569</v>
      </c>
      <c r="AG13" s="139">
        <f>Table8[[#This Row],[UCM for cooking
(€/MWh)]]*'W.F. End-use Level'!V14+Table8[[#This Row],[UCM for water heating
(€/MWh)]]*'W.F. End-use Level'!W14+Table8[[#This Row],[UCM for space heating
(€/MWh)]]*'W.F. End-use Level'!X14</f>
        <v>95.320824074070941</v>
      </c>
      <c r="AH13" s="167">
        <f>C13/'Utilisation by Sector'!$U$15</f>
        <v>2.3005698005698001</v>
      </c>
      <c r="AI13" s="167">
        <f>D13/'Utilisation by Sector'!$V$15</f>
        <v>3.8450122488750962</v>
      </c>
      <c r="AJ13" s="167">
        <f>E13/'Utilisation by Sector'!$W$15</f>
        <v>1.2908496732026145</v>
      </c>
      <c r="AK13" s="167">
        <f>F13/'Utilisation by Sector'!$X$15</f>
        <v>12.152505446623094</v>
      </c>
      <c r="AL13" s="167">
        <f>G13/'Utilisation by Sector'!$Y$15</f>
        <v>0.39368872549019607</v>
      </c>
      <c r="AM13" s="167">
        <f>H13/'Utilisation by Sector'!$Z$15</f>
        <v>6.3780540744102199</v>
      </c>
      <c r="AN13" s="139">
        <f t="shared" si="10"/>
        <v>125.10056980056982</v>
      </c>
      <c r="AO13" s="139">
        <f t="shared" si="11"/>
        <v>126.6450122488751</v>
      </c>
      <c r="AP13" s="139">
        <f t="shared" si="12"/>
        <v>124.09084967320263</v>
      </c>
      <c r="AQ13" s="139">
        <f t="shared" si="13"/>
        <v>134.95250544662309</v>
      </c>
      <c r="AR13" s="139">
        <f t="shared" si="14"/>
        <v>56.756846620227044</v>
      </c>
      <c r="AS13" s="139">
        <f t="shared" si="15"/>
        <v>-11.52194592558978</v>
      </c>
      <c r="AT13" s="139">
        <f>Table8[[#This Row],[UCM
Electric water heater
(€/MWh) ]]*'W.F. at Appliance Level'!X13</f>
        <v>125.10056980056982</v>
      </c>
      <c r="AU13" s="139">
        <f>Table8[[#This Row],[UCM
A/C
(€/MWh) ]]*'W.F. at Appliance Level'!Y13+Table8[[#This Row],[UCM
Other elecric appliances
(€/MWh) ]]*'W.F. at Appliance Level'!Z13+Table8[[#This Row],[UCM
heat pumps
(€/MWh) ]]*'W.F. at Appliance Level'!AA13+Table8[[#This Row],[UCM
Oil burner
(€/MWh)]]*'W.F. at Appliance Level'!AB13+Table8[[#This Row],[UCM
Pellet/Wood burner
(€/MWh) ]]*'W.F. at Appliance Level'!AC13</f>
        <v>76.708104597533875</v>
      </c>
      <c r="AV13" s="139">
        <f>Table8[[#This Row],[UCM for water heating
(€/MWh) ]]*'W.F. End-use Level'!Y14+Table8[[#This Row],[UCM for space heating
(€/MWh) ]]*'W.F. End-use Level'!Z14</f>
        <v>86.694576547084608</v>
      </c>
      <c r="AW13" s="167">
        <f>C13/'Utilisation by Sector'!$U$21</f>
        <v>3.4508547008547001</v>
      </c>
      <c r="AX13" s="167">
        <f>D13/'Utilisation by Sector'!$V$21</f>
        <v>6.921022047975173</v>
      </c>
      <c r="AY13" s="167">
        <f>E13/'Utilisation by Sector'!$W$21</f>
        <v>1.9362745098039218</v>
      </c>
      <c r="AZ13" s="167">
        <f>F13/'Utilisation by Sector'!$X$21</f>
        <v>18.22875816993464</v>
      </c>
      <c r="BA13" s="167">
        <f>G13/'Utilisation by Sector'!$Y$21</f>
        <v>0.59053308823529416</v>
      </c>
      <c r="BB13" s="167">
        <f>H13/'Utilisation by Sector'!$Z$21</f>
        <v>9.5670811116153303</v>
      </c>
      <c r="BC13" s="139">
        <f t="shared" si="16"/>
        <v>126.25085470085472</v>
      </c>
      <c r="BD13" s="139">
        <f t="shared" si="17"/>
        <v>129.7210220479752</v>
      </c>
      <c r="BE13" s="139">
        <f t="shared" si="18"/>
        <v>124.73627450980393</v>
      </c>
      <c r="BF13" s="139">
        <f t="shared" si="19"/>
        <v>141.02875816993466</v>
      </c>
      <c r="BG13" s="139">
        <f t="shared" si="20"/>
        <v>56.953690982972148</v>
      </c>
      <c r="BH13" s="139">
        <f t="shared" si="21"/>
        <v>-8.3329188883846683</v>
      </c>
      <c r="BI13" s="139">
        <f>Table8[[#This Row],[UCM Electric water heater
(€/MWh)]]*'W.F. at Appliance Level'!X13</f>
        <v>126.25085470085472</v>
      </c>
      <c r="BJ13" s="139">
        <f>Table8[[#This Row],[UCM
A/C
(€/MWh)  ]]*'W.F. at Appliance Level'!Y13+Table8[[#This Row],[UCM
Other elecric appliances
(€/MWh)  ]]*'W.F. at Appliance Level'!Z13+Table8[[#This Row],[UCM
heat pumps
(€/MWh)  ]]*'W.F. at Appliance Level'!AA13+Table8[[#This Row],[UCM
Oil burner
(€/MWh) ]]*'W.F. at Appliance Level'!AB13+Table8[[#This Row],[UCM
Pellet/Wood burner
(€/MWh)  ]]*'W.F. at Appliance Level'!AC13</f>
        <v>79.842638078124338</v>
      </c>
      <c r="BK13" s="139">
        <f>Table8[[#This Row],[UCM for water heating
(€/MWh)  ]]*'W.F. End-use Level'!AA14+Table8[[#This Row],[UCM for space heating
(€/MWh)  ]]*'W.F. End-use Level'!AB14</f>
        <v>89.419632173942702</v>
      </c>
      <c r="BL13" s="134">
        <f>Table8[[#This Row],[Total UCM
(€/MWh)]]*'W.F. at Subsector Level'!H13+Table8[[#This Row],[Total UCM
(€/MWh) ]]*'W.F. at Subsector Level'!I13+Table8[[#This Row],[Total UCM 
(€/MWh)]]*'W.F. at Subsector Level'!J13</f>
        <v>90.47834426503276</v>
      </c>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row>
    <row r="14" spans="1:192" x14ac:dyDescent="0.3">
      <c r="A14" s="147" t="s">
        <v>12</v>
      </c>
      <c r="B14" s="166">
        <f>Table35[[#This Row],[Stove (€/MW)]]</f>
        <v>157427.92792792793</v>
      </c>
      <c r="C14" s="166">
        <f>Table35[[#This Row],[Electric Water heater (€/MW)]]</f>
        <v>43027.5</v>
      </c>
      <c r="D14" s="166">
        <f>Table35[[#This Row],[A/C (€/MW)]]</f>
        <v>159155.959752322</v>
      </c>
      <c r="E14" s="166">
        <f>Table35[[#This Row],[Other electric appliances (€/MW)]]</f>
        <v>14785.336538461539</v>
      </c>
      <c r="F14" s="166">
        <f>Table35[[#This Row],[Heat pumps (€/MW)]]</f>
        <v>364239.75495103037</v>
      </c>
      <c r="G14" s="166">
        <f>Table35[[#This Row],[Oil Burner (€/MW)]]</f>
        <v>36343.079494316153</v>
      </c>
      <c r="H14" s="166">
        <f>Table35[[#This Row],[Burner (Pellet, wood,…) (€/MW)]]</f>
        <v>47553.759398496237</v>
      </c>
      <c r="I14" s="166">
        <f>'Fuel Prices excl. VAT'!B13</f>
        <v>2.87E-2</v>
      </c>
      <c r="J14" s="166">
        <f>'Fuel Prices excl. VAT'!D13</f>
        <v>0.10580000000000001</v>
      </c>
      <c r="K14" s="166">
        <f>'Fuel Prices excl. VAT'!F13</f>
        <v>7.5403082605298669E-2</v>
      </c>
      <c r="L14" s="166">
        <f>'Fuel Prices excl. VAT'!H13</f>
        <v>4.4999999999999998E-2</v>
      </c>
      <c r="M14" s="166">
        <f t="shared" si="0"/>
        <v>7.7100000000000002E-2</v>
      </c>
      <c r="N14" s="166">
        <f t="shared" si="1"/>
        <v>4.6703082605298665E-2</v>
      </c>
      <c r="O14" s="166">
        <f t="shared" si="2"/>
        <v>1.6299999999999999E-2</v>
      </c>
      <c r="P14" s="166">
        <f>B14/'Utilisation by Sector'!$T$9</f>
        <v>5.4061788436788438</v>
      </c>
      <c r="Q14" s="166">
        <f>C14/'Utilisation by Sector'!$T$9</f>
        <v>1.4775927197802199</v>
      </c>
      <c r="R14" s="166">
        <f>D14/'Utilisation by Sector'!$V$9</f>
        <v>5.4655205958901787</v>
      </c>
      <c r="S14" s="166">
        <f>E14/'Utilisation by Sector'!$W$9</f>
        <v>1.1093439779758056</v>
      </c>
      <c r="T14" s="166">
        <f>F14/'Utilisation by Sector'!$X$9</f>
        <v>12.753492820414229</v>
      </c>
      <c r="U14" s="166">
        <f>G14/'Utilisation by Sector'!$Y$9</f>
        <v>0.95438759176250398</v>
      </c>
      <c r="V14" s="166">
        <f>H14/'Utilisation by Sector'!$Z$9</f>
        <v>1.2487856984899222</v>
      </c>
      <c r="W14" s="138">
        <f t="shared" si="3"/>
        <v>82.506178843678853</v>
      </c>
      <c r="X14" s="138">
        <f t="shared" si="4"/>
        <v>78.577592719780228</v>
      </c>
      <c r="Y14" s="138">
        <f t="shared" si="5"/>
        <v>82.565520595890192</v>
      </c>
      <c r="Z14" s="138">
        <f t="shared" si="6"/>
        <v>78.20934397797582</v>
      </c>
      <c r="AA14" s="138">
        <f t="shared" si="7"/>
        <v>89.853492820414232</v>
      </c>
      <c r="AB14" s="138">
        <f t="shared" si="8"/>
        <v>47.657470197061173</v>
      </c>
      <c r="AC14" s="138">
        <f t="shared" si="9"/>
        <v>17.548785698489919</v>
      </c>
      <c r="AD14" s="138">
        <f>Table8[[#This Row],[UCM
Stove
(€/MWh)]]*'W.F. at Appliance Level'!P14</f>
        <v>82.506178843678853</v>
      </c>
      <c r="AE14" s="138">
        <f>Table8[[#This Row],[UCM
Electric water heater
(€/MWh)]]*'W.F. at Appliance Level'!Q14</f>
        <v>78.577592719780228</v>
      </c>
      <c r="AF14" s="138">
        <f>Table8[[#This Row],[UCM
A/C
(€/MWh)]]*'W.F. at Appliance Level'!R14+Table8[[#This Row],[UCM
Other elecric appliances
(€/MWh)]]*'W.F. at Appliance Level'!S14+Table8[[#This Row],[UCM
heat pumps
(€/MWh)]]*'W.F. at Appliance Level'!T14+Table8[[#This Row],[UCM
Oil burner 
(€/MWh)]]*'W.F. at Appliance Level'!U14+Table8[[#This Row],[UCM
Pellet/Wood burner
(€/MWh)]]*'W.F. at Appliance Level'!V14</f>
        <v>63.166922657966268</v>
      </c>
      <c r="AG14" s="138">
        <f>Table8[[#This Row],[UCM for cooking
(€/MWh)]]*'W.F. End-use Level'!V15+Table8[[#This Row],[UCM for water heating
(€/MWh)]]*'W.F. End-use Level'!W15+Table8[[#This Row],[UCM for space heating
(€/MWh)]]*'W.F. End-use Level'!X15</f>
        <v>67.258468387878835</v>
      </c>
      <c r="AH14" s="166">
        <f>C14/'Utilisation by Sector'!$U$15</f>
        <v>1.3790865384615385</v>
      </c>
      <c r="AI14" s="166">
        <f>D14/'Utilisation by Sector'!$V$15</f>
        <v>4.2509604634701388</v>
      </c>
      <c r="AJ14" s="166">
        <f>E14/'Utilisation by Sector'!$W$15</f>
        <v>1.0353877127774187</v>
      </c>
      <c r="AK14" s="166">
        <f>F14/'Utilisation by Sector'!$X$15</f>
        <v>11.903259965719947</v>
      </c>
      <c r="AL14" s="166">
        <f>G14/'Utilisation by Sector'!$Y$15</f>
        <v>0.89076175231167043</v>
      </c>
      <c r="AM14" s="166">
        <f>H14/'Utilisation by Sector'!$Z$15</f>
        <v>1.1655333185905941</v>
      </c>
      <c r="AN14" s="138">
        <f t="shared" si="10"/>
        <v>78.479086538461544</v>
      </c>
      <c r="AO14" s="138">
        <f t="shared" si="11"/>
        <v>81.350960463470145</v>
      </c>
      <c r="AP14" s="138">
        <f t="shared" si="12"/>
        <v>78.13538771277743</v>
      </c>
      <c r="AQ14" s="138">
        <f t="shared" si="13"/>
        <v>89.003259965719963</v>
      </c>
      <c r="AR14" s="138">
        <f t="shared" si="14"/>
        <v>47.593844357610337</v>
      </c>
      <c r="AS14" s="138">
        <f t="shared" si="15"/>
        <v>17.465533318590591</v>
      </c>
      <c r="AT14" s="138">
        <f>Table8[[#This Row],[UCM
Electric water heater
(€/MWh) ]]*'W.F. at Appliance Level'!X14</f>
        <v>78.479086538461544</v>
      </c>
      <c r="AU14" s="138">
        <f>Table8[[#This Row],[UCM
A/C
(€/MWh) ]]*'W.F. at Appliance Level'!Y14+Table8[[#This Row],[UCM
Other elecric appliances
(€/MWh) ]]*'W.F. at Appliance Level'!Z14+Table8[[#This Row],[UCM
heat pumps
(€/MWh) ]]*'W.F. at Appliance Level'!AA14+Table8[[#This Row],[UCM
Oil burner
(€/MWh)]]*'W.F. at Appliance Level'!AB14+Table8[[#This Row],[UCM
Pellet/Wood burner
(€/MWh) ]]*'W.F. at Appliance Level'!AC14</f>
        <v>58.853399526347758</v>
      </c>
      <c r="AV14" s="138">
        <f>Table8[[#This Row],[UCM for water heating
(€/MWh) ]]*'W.F. End-use Level'!Y15+Table8[[#This Row],[UCM for space heating
(€/MWh) ]]*'W.F. End-use Level'!Z15</f>
        <v>62.519366389623741</v>
      </c>
      <c r="AW14" s="166">
        <f>C14/'Utilisation by Sector'!$U$21</f>
        <v>2.0686298076923078</v>
      </c>
      <c r="AX14" s="166">
        <f>D14/'Utilisation by Sector'!$V$21</f>
        <v>7.6517288342462502</v>
      </c>
      <c r="AY14" s="166">
        <f>E14/'Utilisation by Sector'!$W$21</f>
        <v>1.5530815691661279</v>
      </c>
      <c r="AZ14" s="166">
        <f>F14/'Utilisation by Sector'!$X$21</f>
        <v>17.85488994857992</v>
      </c>
      <c r="BA14" s="166">
        <f>G14/'Utilisation by Sector'!$Y$21</f>
        <v>1.3361426284675055</v>
      </c>
      <c r="BB14" s="166">
        <f>H14/'Utilisation by Sector'!$Z$21</f>
        <v>1.748299977885891</v>
      </c>
      <c r="BC14" s="138">
        <f t="shared" si="16"/>
        <v>79.168629807692312</v>
      </c>
      <c r="BD14" s="138">
        <f t="shared" si="17"/>
        <v>84.751728834246265</v>
      </c>
      <c r="BE14" s="138">
        <f t="shared" si="18"/>
        <v>78.653081569166133</v>
      </c>
      <c r="BF14" s="138">
        <f t="shared" si="19"/>
        <v>94.954889948579932</v>
      </c>
      <c r="BG14" s="138">
        <f t="shared" si="20"/>
        <v>48.039225233766174</v>
      </c>
      <c r="BH14" s="138">
        <f t="shared" si="21"/>
        <v>18.04829997788589</v>
      </c>
      <c r="BI14" s="138">
        <f>Table8[[#This Row],[UCM Electric water heater
(€/MWh)]]*'W.F. at Appliance Level'!X14</f>
        <v>79.168629807692312</v>
      </c>
      <c r="BJ14" s="138">
        <f>Table8[[#This Row],[UCM
A/C
(€/MWh)  ]]*'W.F. at Appliance Level'!Y14+Table8[[#This Row],[UCM
Other elecric appliances
(€/MWh)  ]]*'W.F. at Appliance Level'!Z14+Table8[[#This Row],[UCM
heat pumps
(€/MWh)  ]]*'W.F. at Appliance Level'!AA14+Table8[[#This Row],[UCM
Oil burner
(€/MWh) ]]*'W.F. at Appliance Level'!AB14+Table8[[#This Row],[UCM
Pellet/Wood burner
(€/MWh)  ]]*'W.F. at Appliance Level'!AC14</f>
        <v>61.448535998619562</v>
      </c>
      <c r="BK14" s="138">
        <f>Table8[[#This Row],[UCM for water heating
(€/MWh)  ]]*'W.F. End-use Level'!AA15+Table8[[#This Row],[UCM for space heating
(€/MWh)  ]]*'W.F. End-use Level'!AB15</f>
        <v>64.758548875014966</v>
      </c>
      <c r="BL14" s="133">
        <f>Table8[[#This Row],[Total UCM
(€/MWh)]]*'W.F. at Subsector Level'!H14+Table8[[#This Row],[Total UCM
(€/MWh) ]]*'W.F. at Subsector Level'!I14+Table8[[#This Row],[Total UCM 
(€/MWh)]]*'W.F. at Subsector Level'!J14</f>
        <v>64.845461217505857</v>
      </c>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row>
    <row r="15" spans="1:192" x14ac:dyDescent="0.3">
      <c r="A15" s="147" t="s">
        <v>13</v>
      </c>
      <c r="B15" s="167">
        <f>Table35[[#This Row],[Stove (€/MW)]]</f>
        <v>117747.45265151514</v>
      </c>
      <c r="C15" s="167">
        <f>Table35[[#This Row],[Electric Water heater (€/MW)]]</f>
        <v>59707.5</v>
      </c>
      <c r="D15" s="167">
        <f>Table35[[#This Row],[A/C (€/MW)]]</f>
        <v>89178.51725445583</v>
      </c>
      <c r="E15" s="167">
        <f>Table35[[#This Row],[Other electric appliances (€/MW)]]</f>
        <v>10751.5</v>
      </c>
      <c r="F15" s="167">
        <f>Table35[[#This Row],[Heat pumps (€/MW)]]</f>
        <v>243765.02976190479</v>
      </c>
      <c r="G15" s="167">
        <f>Table35[[#This Row],[Oil Burner (€/MW)]]</f>
        <v>39007.148677248675</v>
      </c>
      <c r="H15" s="167">
        <f>Table35[[#This Row],[Burner (Pellet, wood,…) (€/MW)]]</f>
        <v>58902.005208333328</v>
      </c>
      <c r="I15" s="167">
        <f>'Fuel Prices excl. VAT'!B14</f>
        <v>2.5399999999999999E-2</v>
      </c>
      <c r="J15" s="167">
        <f>'Fuel Prices excl. VAT'!D14</f>
        <v>0.10059999999999999</v>
      </c>
      <c r="K15" s="167">
        <f>'Fuel Prices excl. VAT'!F14</f>
        <v>0.10156785966718833</v>
      </c>
      <c r="L15" s="167">
        <f>'Fuel Prices excl. VAT'!H14</f>
        <v>4.4999999999999998E-2</v>
      </c>
      <c r="M15" s="167">
        <f t="shared" si="0"/>
        <v>7.5199999999999989E-2</v>
      </c>
      <c r="N15" s="167">
        <f t="shared" si="1"/>
        <v>7.6167859667188337E-2</v>
      </c>
      <c r="O15" s="167">
        <f t="shared" si="2"/>
        <v>1.9599999999999999E-2</v>
      </c>
      <c r="P15" s="167">
        <f>B15/'Utilisation by Sector'!$T$9</f>
        <v>4.0435251597360971</v>
      </c>
      <c r="Q15" s="167">
        <f>C15/'Utilisation by Sector'!$T$9</f>
        <v>2.0503949175824174</v>
      </c>
      <c r="R15" s="167">
        <f>D15/'Utilisation by Sector'!$V$9</f>
        <v>3.0624490815403789</v>
      </c>
      <c r="S15" s="167">
        <f>E15/'Utilisation by Sector'!$W$9</f>
        <v>0.80668517406962781</v>
      </c>
      <c r="T15" s="167">
        <f>F15/'Utilisation by Sector'!$X$9</f>
        <v>8.5351901177137535</v>
      </c>
      <c r="U15" s="167">
        <f>G15/'Utilisation by Sector'!$Y$9</f>
        <v>1.0243473917344714</v>
      </c>
      <c r="V15" s="167">
        <f>H15/'Utilisation by Sector'!$Z$9</f>
        <v>1.5467963552608541</v>
      </c>
      <c r="W15" s="139">
        <f t="shared" si="3"/>
        <v>79.24352515973608</v>
      </c>
      <c r="X15" s="139">
        <f t="shared" si="4"/>
        <v>77.250394917582412</v>
      </c>
      <c r="Y15" s="139">
        <f t="shared" si="5"/>
        <v>78.262449081540368</v>
      </c>
      <c r="Z15" s="139">
        <f t="shared" si="6"/>
        <v>76.006685174069617</v>
      </c>
      <c r="AA15" s="139">
        <f t="shared" si="7"/>
        <v>83.735190117713742</v>
      </c>
      <c r="AB15" s="139">
        <f t="shared" si="8"/>
        <v>77.192207058922804</v>
      </c>
      <c r="AC15" s="139">
        <f t="shared" si="9"/>
        <v>21.146796355260854</v>
      </c>
      <c r="AD15" s="139">
        <f>Table8[[#This Row],[UCM
Stove
(€/MWh)]]*'W.F. at Appliance Level'!P15</f>
        <v>79.24352515973608</v>
      </c>
      <c r="AE15" s="139">
        <f>Table8[[#This Row],[UCM
Electric water heater
(€/MWh)]]*'W.F. at Appliance Level'!Q15</f>
        <v>77.250394917582412</v>
      </c>
      <c r="AF15" s="139">
        <f>Table8[[#This Row],[UCM
A/C
(€/MWh)]]*'W.F. at Appliance Level'!R15+Table8[[#This Row],[UCM
Other elecric appliances
(€/MWh)]]*'W.F. at Appliance Level'!S15+Table8[[#This Row],[UCM
heat pumps
(€/MWh)]]*'W.F. at Appliance Level'!T15+Table8[[#This Row],[UCM
Oil burner 
(€/MWh)]]*'W.F. at Appliance Level'!U15+Table8[[#This Row],[UCM
Pellet/Wood burner
(€/MWh)]]*'W.F. at Appliance Level'!V15</f>
        <v>67.268665557501478</v>
      </c>
      <c r="AG15" s="139">
        <f>Table8[[#This Row],[UCM for cooking
(€/MWh)]]*'W.F. End-use Level'!V16+Table8[[#This Row],[UCM for water heating
(€/MWh)]]*'W.F. End-use Level'!W16+Table8[[#This Row],[UCM for space heating
(€/MWh)]]*'W.F. End-use Level'!X16</f>
        <v>72.251211779189902</v>
      </c>
      <c r="AH15" s="167">
        <f>C15/'Utilisation by Sector'!$U$15</f>
        <v>1.913701923076923</v>
      </c>
      <c r="AI15" s="167">
        <f>D15/'Utilisation by Sector'!$V$15</f>
        <v>2.3819048411980726</v>
      </c>
      <c r="AJ15" s="167">
        <f>E15/'Utilisation by Sector'!$W$15</f>
        <v>0.75290616246498598</v>
      </c>
      <c r="AK15" s="167">
        <f>F15/'Utilisation by Sector'!$X$15</f>
        <v>7.9661774431995029</v>
      </c>
      <c r="AL15" s="167">
        <f>G15/'Utilisation by Sector'!$Y$15</f>
        <v>0.95605756561884003</v>
      </c>
      <c r="AM15" s="167">
        <f>H15/'Utilisation by Sector'!$Z$15</f>
        <v>1.4436765982434638</v>
      </c>
      <c r="AN15" s="139">
        <f t="shared" si="10"/>
        <v>77.113701923076917</v>
      </c>
      <c r="AO15" s="139">
        <f t="shared" si="11"/>
        <v>77.581904841198067</v>
      </c>
      <c r="AP15" s="139">
        <f t="shared" si="12"/>
        <v>75.95290616246497</v>
      </c>
      <c r="AQ15" s="139">
        <f t="shared" si="13"/>
        <v>83.166177443199487</v>
      </c>
      <c r="AR15" s="139">
        <f t="shared" si="14"/>
        <v>77.123917232807173</v>
      </c>
      <c r="AS15" s="139">
        <f t="shared" si="15"/>
        <v>21.043676598243461</v>
      </c>
      <c r="AT15" s="139">
        <f>Table8[[#This Row],[UCM
Electric water heater
(€/MWh) ]]*'W.F. at Appliance Level'!X15</f>
        <v>77.113701923076917</v>
      </c>
      <c r="AU15" s="139">
        <f>Table8[[#This Row],[UCM
A/C
(€/MWh) ]]*'W.F. at Appliance Level'!Y15+Table8[[#This Row],[UCM
Other elecric appliances
(€/MWh) ]]*'W.F. at Appliance Level'!Z15+Table8[[#This Row],[UCM
heat pumps
(€/MWh) ]]*'W.F. at Appliance Level'!AA15+Table8[[#This Row],[UCM
Oil burner
(€/MWh)]]*'W.F. at Appliance Level'!AB15+Table8[[#This Row],[UCM
Pellet/Wood burner
(€/MWh) ]]*'W.F. at Appliance Level'!AC15</f>
        <v>64.728919028862052</v>
      </c>
      <c r="AV15" s="139">
        <f>Table8[[#This Row],[UCM for water heating
(€/MWh) ]]*'W.F. End-use Level'!Y16+Table8[[#This Row],[UCM for space heating
(€/MWh) ]]*'W.F. End-use Level'!Z16</f>
        <v>68.686665915502402</v>
      </c>
      <c r="AW15" s="167">
        <f>C15/'Utilisation by Sector'!$U$21</f>
        <v>2.8705528846153845</v>
      </c>
      <c r="AX15" s="167">
        <f>D15/'Utilisation by Sector'!$V$21</f>
        <v>4.2874287141565306</v>
      </c>
      <c r="AY15" s="167">
        <f>E15/'Utilisation by Sector'!$W$21</f>
        <v>1.1293592436974791</v>
      </c>
      <c r="AZ15" s="167">
        <f>F15/'Utilisation by Sector'!$X$21</f>
        <v>11.949266164799255</v>
      </c>
      <c r="BA15" s="167">
        <f>G15/'Utilisation by Sector'!$Y$21</f>
        <v>1.4340863484282602</v>
      </c>
      <c r="BB15" s="167">
        <f>H15/'Utilisation by Sector'!$Z$21</f>
        <v>2.1655148973651959</v>
      </c>
      <c r="BC15" s="139">
        <f t="shared" si="16"/>
        <v>78.070552884615367</v>
      </c>
      <c r="BD15" s="139">
        <f t="shared" si="17"/>
        <v>79.487428714156522</v>
      </c>
      <c r="BE15" s="139">
        <f t="shared" si="18"/>
        <v>76.329359243697468</v>
      </c>
      <c r="BF15" s="139">
        <f t="shared" si="19"/>
        <v>87.149266164799243</v>
      </c>
      <c r="BG15" s="139">
        <f t="shared" si="20"/>
        <v>77.601946015616605</v>
      </c>
      <c r="BH15" s="139">
        <f t="shared" si="21"/>
        <v>21.765514897365193</v>
      </c>
      <c r="BI15" s="139">
        <f>Table8[[#This Row],[UCM Electric water heater
(€/MWh)]]*'W.F. at Appliance Level'!X15</f>
        <v>78.070552884615367</v>
      </c>
      <c r="BJ15" s="139">
        <f>Table8[[#This Row],[UCM
A/C
(€/MWh)  ]]*'W.F. at Appliance Level'!Y15+Table8[[#This Row],[UCM
Other elecric appliances
(€/MWh)  ]]*'W.F. at Appliance Level'!Z15+Table8[[#This Row],[UCM
heat pumps
(€/MWh)  ]]*'W.F. at Appliance Level'!AA15+Table8[[#This Row],[UCM
Oil burner
(€/MWh) ]]*'W.F. at Appliance Level'!AB15+Table8[[#This Row],[UCM
Pellet/Wood burner
(€/MWh)  ]]*'W.F. at Appliance Level'!AC15</f>
        <v>66.501038947984398</v>
      </c>
      <c r="BK15" s="139">
        <f>Table8[[#This Row],[UCM for water heating
(€/MWh)  ]]*'W.F. End-use Level'!AA16+Table8[[#This Row],[UCM for space heating
(€/MWh)  ]]*'W.F. End-use Level'!AB16</f>
        <v>70.198254163927515</v>
      </c>
      <c r="BL15" s="134">
        <f>Table8[[#This Row],[Total UCM
(€/MWh)]]*'W.F. at Subsector Level'!H15+Table8[[#This Row],[Total UCM
(€/MWh) ]]*'W.F. at Subsector Level'!I15+Table8[[#This Row],[Total UCM 
(€/MWh)]]*'W.F. at Subsector Level'!J15</f>
        <v>70.378710619539945</v>
      </c>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row>
    <row r="16" spans="1:192" x14ac:dyDescent="0.3">
      <c r="A16" s="147" t="s">
        <v>14</v>
      </c>
      <c r="B16" s="166">
        <f>Table35[[#This Row],[Stove (€/MW)]]</f>
        <v>161842.1329057939</v>
      </c>
      <c r="C16" s="166">
        <f>Table35[[#This Row],[Electric Water heater (€/MW)]]</f>
        <v>45145.069444444445</v>
      </c>
      <c r="D16" s="166">
        <f>Table35[[#This Row],[A/C (€/MW)]]</f>
        <v>128259.09006356858</v>
      </c>
      <c r="E16" s="166">
        <f>Table35[[#This Row],[Other electric appliances (€/MW)]]</f>
        <v>19601.25</v>
      </c>
      <c r="F16" s="166">
        <f>Table35[[#This Row],[Heat pumps (€/MW)]]</f>
        <v>512669.38789232972</v>
      </c>
      <c r="G16" s="166">
        <f>Table35[[#This Row],[Oil Burner (€/MW)]]</f>
        <v>36343.079494316153</v>
      </c>
      <c r="H16" s="166">
        <f>Table35[[#This Row],[Burner (Pellet, wood,…) (€/MW)]]</f>
        <v>35218.222222222226</v>
      </c>
      <c r="I16" s="166">
        <f>'Fuel Prices excl. VAT'!B15</f>
        <v>2.75E-2</v>
      </c>
      <c r="J16" s="166">
        <f>'Fuel Prices excl. VAT'!D15</f>
        <v>7.9600000000000004E-2</v>
      </c>
      <c r="K16" s="166">
        <f>'Fuel Prices excl. VAT'!F15</f>
        <v>0.10444507833649981</v>
      </c>
      <c r="L16" s="166">
        <f>'Fuel Prices excl. VAT'!H15</f>
        <v>3.2125000000000001E-2</v>
      </c>
      <c r="M16" s="166">
        <f t="shared" si="0"/>
        <v>5.2100000000000007E-2</v>
      </c>
      <c r="N16" s="166">
        <f t="shared" si="1"/>
        <v>7.6945078336499814E-2</v>
      </c>
      <c r="O16" s="166">
        <f t="shared" si="2"/>
        <v>4.6250000000000006E-3</v>
      </c>
      <c r="P16" s="166">
        <f>B16/'Utilisation by Sector'!$T$9</f>
        <v>5.5577655530835814</v>
      </c>
      <c r="Q16" s="166">
        <f>C16/'Utilisation by Sector'!$T$9</f>
        <v>1.5503114507020757</v>
      </c>
      <c r="R16" s="166">
        <f>D16/'Utilisation by Sector'!$V$9</f>
        <v>4.4045017192159541</v>
      </c>
      <c r="S16" s="166">
        <f>E16/'Utilisation by Sector'!$W$9</f>
        <v>1.4706820228091237</v>
      </c>
      <c r="T16" s="166">
        <f>F16/'Utilisation by Sector'!$X$9</f>
        <v>17.950608819759445</v>
      </c>
      <c r="U16" s="166">
        <f>G16/'Utilisation by Sector'!$Y$9</f>
        <v>0.95438759176250398</v>
      </c>
      <c r="V16" s="166">
        <f>H16/'Utilisation by Sector'!$Z$9</f>
        <v>0.92484827264239045</v>
      </c>
      <c r="W16" s="138">
        <f t="shared" si="3"/>
        <v>57.657765553083593</v>
      </c>
      <c r="X16" s="138">
        <f t="shared" si="4"/>
        <v>53.650311450702084</v>
      </c>
      <c r="Y16" s="138">
        <f t="shared" si="5"/>
        <v>56.504501719215966</v>
      </c>
      <c r="Z16" s="138">
        <f t="shared" si="6"/>
        <v>53.57068202280913</v>
      </c>
      <c r="AA16" s="138">
        <f t="shared" si="7"/>
        <v>70.050608819759447</v>
      </c>
      <c r="AB16" s="138">
        <f t="shared" si="8"/>
        <v>77.899465928262316</v>
      </c>
      <c r="AC16" s="138">
        <f t="shared" si="9"/>
        <v>5.5498482726423912</v>
      </c>
      <c r="AD16" s="138">
        <f>Table8[[#This Row],[UCM
Stove
(€/MWh)]]*'W.F. at Appliance Level'!P16</f>
        <v>57.657765553083593</v>
      </c>
      <c r="AE16" s="138">
        <f>Table8[[#This Row],[UCM
Electric water heater
(€/MWh)]]*'W.F. at Appliance Level'!Q16</f>
        <v>53.650311450702084</v>
      </c>
      <c r="AF16" s="138">
        <f>Table8[[#This Row],[UCM
A/C
(€/MWh)]]*'W.F. at Appliance Level'!R16+Table8[[#This Row],[UCM
Other elecric appliances
(€/MWh)]]*'W.F. at Appliance Level'!S16+Table8[[#This Row],[UCM
heat pumps
(€/MWh)]]*'W.F. at Appliance Level'!T16+Table8[[#This Row],[UCM
Oil burner 
(€/MWh)]]*'W.F. at Appliance Level'!U16+Table8[[#This Row],[UCM
Pellet/Wood burner
(€/MWh)]]*'W.F. at Appliance Level'!V16</f>
        <v>52.715021352537853</v>
      </c>
      <c r="AG16" s="138">
        <f>Table8[[#This Row],[UCM for cooking
(€/MWh)]]*'W.F. End-use Level'!V17+Table8[[#This Row],[UCM for water heating
(€/MWh)]]*'W.F. End-use Level'!W17+Table8[[#This Row],[UCM for space heating
(€/MWh)]]*'W.F. End-use Level'!X17</f>
        <v>53.14391761607925</v>
      </c>
      <c r="AH16" s="166">
        <f>C16/'Utilisation by Sector'!$U$15</f>
        <v>1.446957353988604</v>
      </c>
      <c r="AI16" s="166">
        <f>D16/'Utilisation by Sector'!$V$15</f>
        <v>3.4257235593901867</v>
      </c>
      <c r="AJ16" s="166">
        <f>E16/'Utilisation by Sector'!$W$15</f>
        <v>1.3726365546218486</v>
      </c>
      <c r="AK16" s="166">
        <f>F16/'Utilisation by Sector'!$X$15</f>
        <v>16.753901565108816</v>
      </c>
      <c r="AL16" s="166">
        <f>G16/'Utilisation by Sector'!$Y$15</f>
        <v>0.89076175231167043</v>
      </c>
      <c r="AM16" s="166">
        <f>H16/'Utilisation by Sector'!$Z$15</f>
        <v>0.86319172113289766</v>
      </c>
      <c r="AN16" s="138">
        <f t="shared" si="10"/>
        <v>53.54695735398861</v>
      </c>
      <c r="AO16" s="138">
        <f t="shared" si="11"/>
        <v>55.525723559390194</v>
      </c>
      <c r="AP16" s="138">
        <f t="shared" si="12"/>
        <v>53.472636554621857</v>
      </c>
      <c r="AQ16" s="138">
        <f t="shared" si="13"/>
        <v>68.853901565108828</v>
      </c>
      <c r="AR16" s="138">
        <f t="shared" si="14"/>
        <v>77.835840088811494</v>
      </c>
      <c r="AS16" s="138">
        <f t="shared" si="15"/>
        <v>5.4881917211328988</v>
      </c>
      <c r="AT16" s="138">
        <f>Table8[[#This Row],[UCM
Electric water heater
(€/MWh) ]]*'W.F. at Appliance Level'!X16</f>
        <v>53.54695735398861</v>
      </c>
      <c r="AU16" s="138">
        <f>Table8[[#This Row],[UCM
A/C
(€/MWh) ]]*'W.F. at Appliance Level'!Y16+Table8[[#This Row],[UCM
Other elecric appliances
(€/MWh) ]]*'W.F. at Appliance Level'!Z16+Table8[[#This Row],[UCM
heat pumps
(€/MWh) ]]*'W.F. at Appliance Level'!AA16+Table8[[#This Row],[UCM
Oil burner
(€/MWh)]]*'W.F. at Appliance Level'!AB16+Table8[[#This Row],[UCM
Pellet/Wood burner
(€/MWh) ]]*'W.F. at Appliance Level'!AC16</f>
        <v>51.925914233610854</v>
      </c>
      <c r="AV16" s="138">
        <f>Table8[[#This Row],[UCM for water heating
(€/MWh) ]]*'W.F. End-use Level'!Y17+Table8[[#This Row],[UCM for space heating
(€/MWh) ]]*'W.F. End-use Level'!Z17</f>
        <v>52.182770575957086</v>
      </c>
      <c r="AW16" s="166">
        <f>C16/'Utilisation by Sector'!$U$21</f>
        <v>2.1704360309829061</v>
      </c>
      <c r="AX16" s="166">
        <f>D16/'Utilisation by Sector'!$V$21</f>
        <v>6.1663024069023358</v>
      </c>
      <c r="AY16" s="166">
        <f>E16/'Utilisation by Sector'!$W$21</f>
        <v>2.0589548319327733</v>
      </c>
      <c r="AZ16" s="166">
        <f>F16/'Utilisation by Sector'!$X$21</f>
        <v>25.130852347663222</v>
      </c>
      <c r="BA16" s="166">
        <f>G16/'Utilisation by Sector'!$Y$21</f>
        <v>1.3361426284675055</v>
      </c>
      <c r="BB16" s="166">
        <f>H16/'Utilisation by Sector'!$Z$21</f>
        <v>1.2947875816993466</v>
      </c>
      <c r="BC16" s="138">
        <f t="shared" si="16"/>
        <v>54.270436030982914</v>
      </c>
      <c r="BD16" s="138">
        <f t="shared" si="17"/>
        <v>58.266302406902341</v>
      </c>
      <c r="BE16" s="138">
        <f t="shared" si="18"/>
        <v>54.158954831932782</v>
      </c>
      <c r="BF16" s="138">
        <f t="shared" si="19"/>
        <v>77.23085234766323</v>
      </c>
      <c r="BG16" s="138">
        <f t="shared" si="20"/>
        <v>78.281220964967318</v>
      </c>
      <c r="BH16" s="138">
        <f t="shared" si="21"/>
        <v>5.9197875816993477</v>
      </c>
      <c r="BI16" s="138">
        <f>Table8[[#This Row],[UCM Electric water heater
(€/MWh)]]*'W.F. at Appliance Level'!X16</f>
        <v>54.270436030982914</v>
      </c>
      <c r="BJ16" s="138">
        <f>Table8[[#This Row],[UCM
A/C
(€/MWh)  ]]*'W.F. at Appliance Level'!Y16+Table8[[#This Row],[UCM
Other elecric appliances
(€/MWh)  ]]*'W.F. at Appliance Level'!Z16+Table8[[#This Row],[UCM
heat pumps
(€/MWh)  ]]*'W.F. at Appliance Level'!AA16+Table8[[#This Row],[UCM
Oil burner
(€/MWh) ]]*'W.F. at Appliance Level'!AB16+Table8[[#This Row],[UCM
Pellet/Wood burner
(€/MWh)  ]]*'W.F. at Appliance Level'!AC16</f>
        <v>54.924540825308064</v>
      </c>
      <c r="BK16" s="138">
        <f>Table8[[#This Row],[UCM for water heating
(€/MWh)  ]]*'W.F. End-use Level'!AA17+Table8[[#This Row],[UCM for space heating
(€/MWh)  ]]*'W.F. End-use Level'!AB17</f>
        <v>54.820897089450902</v>
      </c>
      <c r="BL16" s="133">
        <f>Table8[[#This Row],[Total UCM
(€/MWh)]]*'W.F. at Subsector Level'!H16+Table8[[#This Row],[Total UCM
(€/MWh) ]]*'W.F. at Subsector Level'!I16+Table8[[#This Row],[Total UCM 
(€/MWh)]]*'W.F. at Subsector Level'!J16</f>
        <v>53.382528427162413</v>
      </c>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row>
    <row r="17" spans="1:192" x14ac:dyDescent="0.3">
      <c r="A17" s="147" t="s">
        <v>15</v>
      </c>
      <c r="B17" s="167">
        <f>Table35[[#This Row],[Stove (€/MW)]]</f>
        <v>138795</v>
      </c>
      <c r="C17" s="167">
        <f>Table35[[#This Row],[Electric Water heater (€/MW)]]</f>
        <v>26930.75</v>
      </c>
      <c r="D17" s="167">
        <f>Table35[[#This Row],[A/C (€/MW)]]</f>
        <v>56742.490053050402</v>
      </c>
      <c r="E17" s="167">
        <f>Table35[[#This Row],[Other electric appliances (€/MW)]]</f>
        <v>7074.6666666666661</v>
      </c>
      <c r="F17" s="167">
        <f>Table35[[#This Row],[Heat pumps (€/MW)]]</f>
        <v>578490.90909090918</v>
      </c>
      <c r="G17" s="167">
        <f>Table35[[#This Row],[Oil Burner (€/MW)]]</f>
        <v>245446.32675559475</v>
      </c>
      <c r="H17" s="167">
        <f>Table35[[#This Row],[Burner (Pellet, wood,…) (€/MW)]]</f>
        <v>113006.8253968254</v>
      </c>
      <c r="I17" s="167">
        <f>'Fuel Prices excl. VAT'!B16</f>
        <v>3.39E-2</v>
      </c>
      <c r="J17" s="167">
        <f>'Fuel Prices excl. VAT'!D16</f>
        <v>0.11849999999999999</v>
      </c>
      <c r="K17" s="167">
        <f>'Fuel Prices excl. VAT'!F16</f>
        <v>8.1602857228249503E-2</v>
      </c>
      <c r="L17" s="167">
        <f>'Fuel Prices excl. VAT'!H16</f>
        <v>4.4999999999999998E-2</v>
      </c>
      <c r="M17" s="167">
        <f t="shared" si="0"/>
        <v>8.4599999999999995E-2</v>
      </c>
      <c r="N17" s="167">
        <f t="shared" si="1"/>
        <v>4.7702857228249504E-2</v>
      </c>
      <c r="O17" s="167">
        <f t="shared" si="2"/>
        <v>1.1099999999999999E-2</v>
      </c>
      <c r="P17" s="167">
        <f>B17/'Utilisation by Sector'!$T$9</f>
        <v>4.766311813186813</v>
      </c>
      <c r="Q17" s="167">
        <f>C17/'Utilisation by Sector'!$T$9</f>
        <v>0.92481971153846154</v>
      </c>
      <c r="R17" s="167">
        <f>D17/'Utilisation by Sector'!$V$9</f>
        <v>1.9485745210525549</v>
      </c>
      <c r="S17" s="167">
        <f>E17/'Utilisation by Sector'!$W$9</f>
        <v>0.53081232492997199</v>
      </c>
      <c r="T17" s="167">
        <f>F17/'Utilisation by Sector'!$X$9</f>
        <v>20.255283931754523</v>
      </c>
      <c r="U17" s="167">
        <f>G17/'Utilisation by Sector'!$Y$9</f>
        <v>6.4455442950523834</v>
      </c>
      <c r="V17" s="167">
        <f>H17/'Utilisation by Sector'!$Z$9</f>
        <v>2.9676162131519277</v>
      </c>
      <c r="W17" s="139">
        <f t="shared" si="3"/>
        <v>89.366311813186812</v>
      </c>
      <c r="X17" s="139">
        <f t="shared" si="4"/>
        <v>85.524819711538456</v>
      </c>
      <c r="Y17" s="139">
        <f t="shared" si="5"/>
        <v>86.548574521052544</v>
      </c>
      <c r="Z17" s="139">
        <f t="shared" si="6"/>
        <v>85.130812324929963</v>
      </c>
      <c r="AA17" s="139">
        <f t="shared" si="7"/>
        <v>104.85528393175451</v>
      </c>
      <c r="AB17" s="139">
        <f t="shared" si="8"/>
        <v>54.148401523301892</v>
      </c>
      <c r="AC17" s="139">
        <f t="shared" si="9"/>
        <v>14.067616213151926</v>
      </c>
      <c r="AD17" s="139">
        <f>Table8[[#This Row],[UCM
Stove
(€/MWh)]]*'W.F. at Appliance Level'!P17</f>
        <v>89.366311813186812</v>
      </c>
      <c r="AE17" s="139">
        <f>Table8[[#This Row],[UCM
Electric water heater
(€/MWh)]]*'W.F. at Appliance Level'!Q17</f>
        <v>85.524819711538456</v>
      </c>
      <c r="AF17" s="139">
        <f>Table8[[#This Row],[UCM
A/C
(€/MWh)]]*'W.F. at Appliance Level'!R17+Table8[[#This Row],[UCM
Other elecric appliances
(€/MWh)]]*'W.F. at Appliance Level'!S17+Table8[[#This Row],[UCM
heat pumps
(€/MWh)]]*'W.F. at Appliance Level'!T17+Table8[[#This Row],[UCM
Oil burner 
(€/MWh)]]*'W.F. at Appliance Level'!U17+Table8[[#This Row],[UCM
Pellet/Wood burner
(€/MWh)]]*'W.F. at Appliance Level'!V17</f>
        <v>68.950137702838177</v>
      </c>
      <c r="AG17" s="139">
        <f>Table8[[#This Row],[UCM for cooking
(€/MWh)]]*'W.F. End-use Level'!V18+Table8[[#This Row],[UCM for water heating
(€/MWh)]]*'W.F. End-use Level'!W18+Table8[[#This Row],[UCM for space heating
(€/MWh)]]*'W.F. End-use Level'!X18</f>
        <v>56.928286005255771</v>
      </c>
      <c r="AH17" s="167">
        <f>C17/'Utilisation by Sector'!$U$15</f>
        <v>0.86316506410256411</v>
      </c>
      <c r="AI17" s="167">
        <f>D17/'Utilisation by Sector'!$V$15</f>
        <v>1.5155579608186538</v>
      </c>
      <c r="AJ17" s="167">
        <f>E17/'Utilisation by Sector'!$W$15</f>
        <v>0.49542483660130715</v>
      </c>
      <c r="AK17" s="167">
        <f>F17/'Utilisation by Sector'!$X$15</f>
        <v>18.904931669637556</v>
      </c>
      <c r="AL17" s="167">
        <f>G17/'Utilisation by Sector'!$Y$15</f>
        <v>6.0158413420488914</v>
      </c>
      <c r="AM17" s="167">
        <f>H17/'Utilisation by Sector'!$Z$15</f>
        <v>2.7697751322751323</v>
      </c>
      <c r="AN17" s="139">
        <f t="shared" si="10"/>
        <v>85.463165064102554</v>
      </c>
      <c r="AO17" s="139">
        <f t="shared" si="11"/>
        <v>86.115557960818649</v>
      </c>
      <c r="AP17" s="139">
        <f t="shared" si="12"/>
        <v>85.095424836601296</v>
      </c>
      <c r="AQ17" s="139">
        <f t="shared" si="13"/>
        <v>103.50493166963756</v>
      </c>
      <c r="AR17" s="139">
        <f t="shared" si="14"/>
        <v>53.7186985702984</v>
      </c>
      <c r="AS17" s="139">
        <f t="shared" si="15"/>
        <v>13.86977513227513</v>
      </c>
      <c r="AT17" s="139">
        <f>Table8[[#This Row],[UCM
Electric water heater
(€/MWh) ]]*'W.F. at Appliance Level'!X17</f>
        <v>85.463165064102554</v>
      </c>
      <c r="AU17" s="139">
        <f>Table8[[#This Row],[UCM
A/C
(€/MWh) ]]*'W.F. at Appliance Level'!Y17+Table8[[#This Row],[UCM
Other elecric appliances
(€/MWh) ]]*'W.F. at Appliance Level'!Z17+Table8[[#This Row],[UCM
heat pumps
(€/MWh) ]]*'W.F. at Appliance Level'!AA17+Table8[[#This Row],[UCM
Oil burner
(€/MWh)]]*'W.F. at Appliance Level'!AB17+Table8[[#This Row],[UCM
Pellet/Wood burner
(€/MWh) ]]*'W.F. at Appliance Level'!AC17</f>
        <v>64.302240833257443</v>
      </c>
      <c r="AV17" s="139">
        <f>Table8[[#This Row],[UCM for water heating
(€/MWh) ]]*'W.F. End-use Level'!Y18+Table8[[#This Row],[UCM for space heating
(€/MWh) ]]*'W.F. End-use Level'!Z18</f>
        <v>69.267857072386974</v>
      </c>
      <c r="AW17" s="167">
        <f>C17/'Utilisation by Sector'!$U$21</f>
        <v>1.2947475961538462</v>
      </c>
      <c r="AX17" s="167">
        <f>D17/'Utilisation by Sector'!$V$21</f>
        <v>2.7280043294735772</v>
      </c>
      <c r="AY17" s="167">
        <f>E17/'Utilisation by Sector'!$W$21</f>
        <v>0.7431372549019607</v>
      </c>
      <c r="AZ17" s="167">
        <f>F17/'Utilisation by Sector'!$X$21</f>
        <v>28.357397504456333</v>
      </c>
      <c r="BA17" s="167">
        <f>G17/'Utilisation by Sector'!$Y$21</f>
        <v>9.0237620130733358</v>
      </c>
      <c r="BB17" s="167">
        <f>H17/'Utilisation by Sector'!$Z$21</f>
        <v>4.1546626984126984</v>
      </c>
      <c r="BC17" s="139">
        <f t="shared" si="16"/>
        <v>85.894747596153834</v>
      </c>
      <c r="BD17" s="139">
        <f t="shared" si="17"/>
        <v>87.328004329473572</v>
      </c>
      <c r="BE17" s="139">
        <f t="shared" si="18"/>
        <v>85.343137254901961</v>
      </c>
      <c r="BF17" s="139">
        <f t="shared" si="19"/>
        <v>112.95739750445632</v>
      </c>
      <c r="BG17" s="139">
        <f t="shared" si="20"/>
        <v>56.726619241322844</v>
      </c>
      <c r="BH17" s="139">
        <f t="shared" si="21"/>
        <v>15.254662698412696</v>
      </c>
      <c r="BI17" s="139">
        <f>Table8[[#This Row],[UCM Electric water heater
(€/MWh)]]*'W.F. at Appliance Level'!X17</f>
        <v>85.894747596153834</v>
      </c>
      <c r="BJ17" s="139">
        <f>Table8[[#This Row],[UCM
A/C
(€/MWh)  ]]*'W.F. at Appliance Level'!Y17+Table8[[#This Row],[UCM
Other elecric appliances
(€/MWh)  ]]*'W.F. at Appliance Level'!Z17+Table8[[#This Row],[UCM
heat pumps
(€/MWh)  ]]*'W.F. at Appliance Level'!AA17+Table8[[#This Row],[UCM
Oil burner
(€/MWh) ]]*'W.F. at Appliance Level'!AB17+Table8[[#This Row],[UCM
Pellet/Wood burner
(€/MWh)  ]]*'W.F. at Appliance Level'!AC17</f>
        <v>68.066670943416355</v>
      </c>
      <c r="BK17" s="139">
        <f>Table8[[#This Row],[UCM for water heating
(€/MWh)  ]]*'W.F. End-use Level'!AA18+Table8[[#This Row],[UCM for space heating
(€/MWh)  ]]*'W.F. End-use Level'!AB18</f>
        <v>72.250202152806438</v>
      </c>
      <c r="BL17" s="134">
        <f>Table8[[#This Row],[Total UCM
(€/MWh)]]*'W.F. at Subsector Level'!H17+Table8[[#This Row],[Total UCM
(€/MWh) ]]*'W.F. at Subsector Level'!I17+Table8[[#This Row],[Total UCM 
(€/MWh)]]*'W.F. at Subsector Level'!J17</f>
        <v>66.14878174348307</v>
      </c>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row>
    <row r="18" spans="1:192" x14ac:dyDescent="0.3">
      <c r="A18" s="147" t="s">
        <v>16</v>
      </c>
      <c r="B18" s="166">
        <f>Table35[[#This Row],[Stove (€/MW)]]</f>
        <v>197203.43936423399</v>
      </c>
      <c r="C18" s="166">
        <f>Table35[[#This Row],[Electric Water heater (€/MW)]]</f>
        <v>87502.020202020183</v>
      </c>
      <c r="D18" s="166">
        <f>Table35[[#This Row],[A/C (€/MW)]]</f>
        <v>111175.37851478011</v>
      </c>
      <c r="E18" s="166">
        <f>Table35[[#This Row],[Other electric appliances (€/MW)]]</f>
        <v>30863.636363636364</v>
      </c>
      <c r="F18" s="166">
        <f>Table35[[#This Row],[Heat pumps (€/MW)]]</f>
        <v>472469.84126984124</v>
      </c>
      <c r="G18" s="166">
        <f>Table35[[#This Row],[Oil Burner (€/MW)]]</f>
        <v>36343.079494316153</v>
      </c>
      <c r="H18" s="166">
        <f>Table35[[#This Row],[Burner (Pellet, wood,…) (€/MW)]]</f>
        <v>73784.126984126982</v>
      </c>
      <c r="I18" s="166">
        <f>'Fuel Prices excl. VAT'!B17</f>
        <v>3.5099999999999999E-2</v>
      </c>
      <c r="J18" s="166">
        <f>'Fuel Prices excl. VAT'!D17</f>
        <v>0.1196</v>
      </c>
      <c r="K18" s="166">
        <f>'Fuel Prices excl. VAT'!F17</f>
        <v>9.833789473684211E-2</v>
      </c>
      <c r="L18" s="166">
        <f>'Fuel Prices excl. VAT'!H17</f>
        <v>4.4999999999999998E-2</v>
      </c>
      <c r="M18" s="166">
        <f t="shared" si="0"/>
        <v>8.4499999999999992E-2</v>
      </c>
      <c r="N18" s="166">
        <f t="shared" si="1"/>
        <v>6.3237894736842104E-2</v>
      </c>
      <c r="O18" s="166">
        <f t="shared" si="2"/>
        <v>9.8999999999999991E-3</v>
      </c>
      <c r="P18" s="166">
        <f>B18/'Utilisation by Sector'!$T$9</f>
        <v>6.7720961320135293</v>
      </c>
      <c r="Q18" s="166">
        <f>C18/'Utilisation by Sector'!$T$9</f>
        <v>3.0048770673770666</v>
      </c>
      <c r="R18" s="166">
        <f>D18/'Utilisation by Sector'!$V$9</f>
        <v>3.8178358006449216</v>
      </c>
      <c r="S18" s="166">
        <f>E18/'Utilisation by Sector'!$W$9</f>
        <v>2.3156990068754775</v>
      </c>
      <c r="T18" s="166">
        <f>F18/'Utilisation by Sector'!$X$9</f>
        <v>16.543061669112088</v>
      </c>
      <c r="U18" s="166">
        <f>G18/'Utilisation by Sector'!$Y$9</f>
        <v>0.95438759176250398</v>
      </c>
      <c r="V18" s="166">
        <f>H18/'Utilisation by Sector'!$Z$9</f>
        <v>1.9376083766840069</v>
      </c>
      <c r="W18" s="138">
        <f t="shared" si="3"/>
        <v>91.272096132013516</v>
      </c>
      <c r="X18" s="138">
        <f t="shared" si="4"/>
        <v>87.504877067377052</v>
      </c>
      <c r="Y18" s="138">
        <f t="shared" si="5"/>
        <v>88.3178358006449</v>
      </c>
      <c r="Z18" s="138">
        <f t="shared" si="6"/>
        <v>86.815699006875462</v>
      </c>
      <c r="AA18" s="138">
        <f t="shared" si="7"/>
        <v>101.04306166911208</v>
      </c>
      <c r="AB18" s="138">
        <f t="shared" si="8"/>
        <v>64.192282328604605</v>
      </c>
      <c r="AC18" s="138">
        <f t="shared" si="9"/>
        <v>11.837608376684006</v>
      </c>
      <c r="AD18" s="138">
        <f>Table8[[#This Row],[UCM
Stove
(€/MWh)]]*'W.F. at Appliance Level'!P18</f>
        <v>91.272096132013516</v>
      </c>
      <c r="AE18" s="138">
        <f>Table8[[#This Row],[UCM
Electric water heater
(€/MWh)]]*'W.F. at Appliance Level'!Q18</f>
        <v>87.504877067377052</v>
      </c>
      <c r="AF18" s="138">
        <f>Table8[[#This Row],[UCM
A/C
(€/MWh)]]*'W.F. at Appliance Level'!R18+Table8[[#This Row],[UCM
Other elecric appliances
(€/MWh)]]*'W.F. at Appliance Level'!S18+Table8[[#This Row],[UCM
heat pumps
(€/MWh)]]*'W.F. at Appliance Level'!T18+Table8[[#This Row],[UCM
Oil burner 
(€/MWh)]]*'W.F. at Appliance Level'!U18+Table8[[#This Row],[UCM
Pellet/Wood burner
(€/MWh)]]*'W.F. at Appliance Level'!V18</f>
        <v>70.441297436384218</v>
      </c>
      <c r="AG18" s="138">
        <f>Table8[[#This Row],[UCM for cooking
(€/MWh)]]*'W.F. End-use Level'!V19+Table8[[#This Row],[UCM for water heating
(€/MWh)]]*'W.F. End-use Level'!W19+Table8[[#This Row],[UCM for space heating
(€/MWh)]]*'W.F. End-use Level'!X19</f>
        <v>88.29421322077232</v>
      </c>
      <c r="AH18" s="166">
        <f>C18/'Utilisation by Sector'!$U$15</f>
        <v>2.8045519295519288</v>
      </c>
      <c r="AI18" s="166">
        <f>D18/'Utilisation by Sector'!$V$15</f>
        <v>2.9694278449460501</v>
      </c>
      <c r="AJ18" s="166">
        <f>E18/'Utilisation by Sector'!$W$15</f>
        <v>2.1613190730837788</v>
      </c>
      <c r="AK18" s="166">
        <f>F18/'Utilisation by Sector'!$X$15</f>
        <v>15.440190891171282</v>
      </c>
      <c r="AL18" s="166">
        <f>G18/'Utilisation by Sector'!$Y$15</f>
        <v>0.89076175231167043</v>
      </c>
      <c r="AM18" s="166">
        <f>H18/'Utilisation by Sector'!$Z$15</f>
        <v>1.8084344849050731</v>
      </c>
      <c r="AN18" s="138">
        <f t="shared" si="10"/>
        <v>87.30455192955192</v>
      </c>
      <c r="AO18" s="138">
        <f t="shared" si="11"/>
        <v>87.46942784494604</v>
      </c>
      <c r="AP18" s="138">
        <f t="shared" si="12"/>
        <v>86.66131907308376</v>
      </c>
      <c r="AQ18" s="138">
        <f t="shared" si="13"/>
        <v>99.94019089117127</v>
      </c>
      <c r="AR18" s="138">
        <f t="shared" si="14"/>
        <v>64.128656489153769</v>
      </c>
      <c r="AS18" s="138">
        <f t="shared" si="15"/>
        <v>11.708434484905071</v>
      </c>
      <c r="AT18" s="138">
        <f>Table8[[#This Row],[UCM
Electric water heater
(€/MWh) ]]*'W.F. at Appliance Level'!X18</f>
        <v>87.30455192955192</v>
      </c>
      <c r="AU18" s="138">
        <f>Table8[[#This Row],[UCM
A/C
(€/MWh) ]]*'W.F. at Appliance Level'!Y18+Table8[[#This Row],[UCM
Other elecric appliances
(€/MWh) ]]*'W.F. at Appliance Level'!Z18+Table8[[#This Row],[UCM
heat pumps
(€/MWh) ]]*'W.F. at Appliance Level'!AA18+Table8[[#This Row],[UCM
Oil burner
(€/MWh)]]*'W.F. at Appliance Level'!AB18+Table8[[#This Row],[UCM
Pellet/Wood burner
(€/MWh) ]]*'W.F. at Appliance Level'!AC18</f>
        <v>65.811677427544041</v>
      </c>
      <c r="AV18" s="138">
        <f>Table8[[#This Row],[UCM for water heating
(€/MWh) ]]*'W.F. End-use Level'!Y19+Table8[[#This Row],[UCM for space heating
(€/MWh) ]]*'W.F. End-use Level'!Z19</f>
        <v>86.270080655007561</v>
      </c>
      <c r="AW18" s="166">
        <f>C18/'Utilisation by Sector'!$U$21</f>
        <v>4.2068278943278932</v>
      </c>
      <c r="AX18" s="166">
        <f>D18/'Utilisation by Sector'!$V$21</f>
        <v>5.3449701209028895</v>
      </c>
      <c r="AY18" s="166">
        <f>E18/'Utilisation by Sector'!$W$21</f>
        <v>3.2419786096256686</v>
      </c>
      <c r="AZ18" s="166">
        <f>F18/'Utilisation by Sector'!$X$21</f>
        <v>23.160286336756922</v>
      </c>
      <c r="BA18" s="166">
        <f>G18/'Utilisation by Sector'!$Y$21</f>
        <v>1.3361426284675055</v>
      </c>
      <c r="BB18" s="166">
        <f>H18/'Utilisation by Sector'!$Z$21</f>
        <v>2.7126517273576098</v>
      </c>
      <c r="BC18" s="138">
        <f t="shared" si="16"/>
        <v>88.706827894327873</v>
      </c>
      <c r="BD18" s="138">
        <f t="shared" si="17"/>
        <v>89.844970120902872</v>
      </c>
      <c r="BE18" s="138">
        <f t="shared" si="18"/>
        <v>87.741978609625647</v>
      </c>
      <c r="BF18" s="138">
        <f t="shared" si="19"/>
        <v>107.66028633675691</v>
      </c>
      <c r="BG18" s="138">
        <f t="shared" si="20"/>
        <v>64.574037365309607</v>
      </c>
      <c r="BH18" s="138">
        <f t="shared" si="21"/>
        <v>12.612651727357608</v>
      </c>
      <c r="BI18" s="138">
        <f>Table8[[#This Row],[UCM Electric water heater
(€/MWh)]]*'W.F. at Appliance Level'!X18</f>
        <v>88.706827894327873</v>
      </c>
      <c r="BJ18" s="138">
        <f>Table8[[#This Row],[UCM
A/C
(€/MWh)  ]]*'W.F. at Appliance Level'!Y18+Table8[[#This Row],[UCM
Other elecric appliances
(€/MWh)  ]]*'W.F. at Appliance Level'!Z18+Table8[[#This Row],[UCM
heat pumps
(€/MWh)  ]]*'W.F. at Appliance Level'!AA18+Table8[[#This Row],[UCM
Oil burner
(€/MWh) ]]*'W.F. at Appliance Level'!AB18+Table8[[#This Row],[UCM
Pellet/Wood burner
(€/MWh)  ]]*'W.F. at Appliance Level'!AC18</f>
        <v>68.672986387581744</v>
      </c>
      <c r="BK18" s="138">
        <f>Table8[[#This Row],[UCM for water heating
(€/MWh)  ]]*'W.F. End-use Level'!AA19+Table8[[#This Row],[UCM for space heating
(€/MWh)  ]]*'W.F. End-use Level'!AB19</f>
        <v>87.742581182908822</v>
      </c>
      <c r="BL18" s="133">
        <f>Table8[[#This Row],[Total UCM
(€/MWh)]]*'W.F. at Subsector Level'!H18+Table8[[#This Row],[Total UCM
(€/MWh) ]]*'W.F. at Subsector Level'!I18+Table8[[#This Row],[Total UCM 
(€/MWh)]]*'W.F. at Subsector Level'!J18</f>
        <v>87.435625019562906</v>
      </c>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row>
    <row r="19" spans="1:192" x14ac:dyDescent="0.3">
      <c r="A19" s="147" t="s">
        <v>17</v>
      </c>
      <c r="B19" s="167">
        <f>Table35[[#This Row],[Stove (€/MW)]]</f>
        <v>113088.77058929864</v>
      </c>
      <c r="C19" s="167">
        <f>Table35[[#This Row],[Electric Water heater (€/MW)]]</f>
        <v>42972.076923076922</v>
      </c>
      <c r="D19" s="167">
        <f>Table35[[#This Row],[A/C (€/MW)]]</f>
        <v>107295.04763551115</v>
      </c>
      <c r="E19" s="167">
        <f>Table35[[#This Row],[Other electric appliances (€/MW)]]</f>
        <v>18983.047739297741</v>
      </c>
      <c r="F19" s="167">
        <f>Table35[[#This Row],[Heat pumps (€/MW)]]</f>
        <v>370713.14288668853</v>
      </c>
      <c r="G19" s="167">
        <f>Table35[[#This Row],[Oil Burner (€/MW)]]</f>
        <v>13737.218052434455</v>
      </c>
      <c r="H19" s="167">
        <f>Table35[[#This Row],[Burner (Pellet, wood,…) (€/MW)]]</f>
        <v>119968.25396825396</v>
      </c>
      <c r="I19" s="167">
        <f>'Fuel Prices excl. VAT'!B18</f>
        <v>4.53E-2</v>
      </c>
      <c r="J19" s="167">
        <f>'Fuel Prices excl. VAT'!D18</f>
        <v>0.13189999999999999</v>
      </c>
      <c r="K19" s="167">
        <f>'Fuel Prices excl. VAT'!F18</f>
        <v>9.833789473684211E-2</v>
      </c>
      <c r="L19" s="167">
        <f>'Fuel Prices excl. VAT'!H18</f>
        <v>4.4999999999999998E-2</v>
      </c>
      <c r="M19" s="167">
        <f t="shared" si="0"/>
        <v>8.6599999999999983E-2</v>
      </c>
      <c r="N19" s="167">
        <f t="shared" si="1"/>
        <v>5.303789473684211E-2</v>
      </c>
      <c r="O19" s="167">
        <f t="shared" si="2"/>
        <v>-3.0000000000000165E-4</v>
      </c>
      <c r="P19" s="167">
        <f>B19/'Utilisation by Sector'!$T$9</f>
        <v>3.8835429460610795</v>
      </c>
      <c r="Q19" s="167">
        <f>C19/'Utilisation by Sector'!$T$9</f>
        <v>1.4756894547759931</v>
      </c>
      <c r="R19" s="167">
        <f>D19/'Utilisation by Sector'!$V$9</f>
        <v>3.6845826797909047</v>
      </c>
      <c r="S19" s="167">
        <f>E19/'Utilisation by Sector'!$W$9</f>
        <v>1.4242982997672375</v>
      </c>
      <c r="T19" s="167">
        <f>F19/'Utilisation by Sector'!$X$9</f>
        <v>12.980152061858842</v>
      </c>
      <c r="U19" s="167">
        <f>G19/'Utilisation by Sector'!$Y$9</f>
        <v>0.36074627238535856</v>
      </c>
      <c r="V19" s="167">
        <f>H19/'Utilisation by Sector'!$Z$9</f>
        <v>3.1504268374016271</v>
      </c>
      <c r="W19" s="139">
        <f t="shared" si="3"/>
        <v>90.483542946061064</v>
      </c>
      <c r="X19" s="139">
        <f t="shared" si="4"/>
        <v>88.075689454775969</v>
      </c>
      <c r="Y19" s="139">
        <f t="shared" si="5"/>
        <v>90.284582679790887</v>
      </c>
      <c r="Z19" s="139">
        <f t="shared" si="6"/>
        <v>88.024298299767224</v>
      </c>
      <c r="AA19" s="139">
        <f t="shared" si="7"/>
        <v>99.580152061858826</v>
      </c>
      <c r="AB19" s="139">
        <f t="shared" si="8"/>
        <v>53.398641009227468</v>
      </c>
      <c r="AC19" s="139">
        <f t="shared" si="9"/>
        <v>2.8504268374016255</v>
      </c>
      <c r="AD19" s="139">
        <f>Table8[[#This Row],[UCM
Stove
(€/MWh)]]*'W.F. at Appliance Level'!P19</f>
        <v>90.483542946061064</v>
      </c>
      <c r="AE19" s="139">
        <f>Table8[[#This Row],[UCM
Electric water heater
(€/MWh)]]*'W.F. at Appliance Level'!Q19</f>
        <v>88.075689454775969</v>
      </c>
      <c r="AF19" s="139">
        <f>Table8[[#This Row],[UCM
A/C
(€/MWh)]]*'W.F. at Appliance Level'!R19+Table8[[#This Row],[UCM
Other elecric appliances
(€/MWh)]]*'W.F. at Appliance Level'!S19+Table8[[#This Row],[UCM
heat pumps
(€/MWh)]]*'W.F. at Appliance Level'!T19+Table8[[#This Row],[UCM
Oil burner 
(€/MWh)]]*'W.F. at Appliance Level'!U19+Table8[[#This Row],[UCM
Pellet/Wood burner
(€/MWh)]]*'W.F. at Appliance Level'!V19</f>
        <v>66.827620177609219</v>
      </c>
      <c r="AG19" s="139">
        <f>Table8[[#This Row],[UCM for cooking
(€/MWh)]]*'W.F. End-use Level'!V20+Table8[[#This Row],[UCM for water heating
(€/MWh)]]*'W.F. End-use Level'!W20+Table8[[#This Row],[UCM for space heating
(€/MWh)]]*'W.F. End-use Level'!X20</f>
        <v>76.087995952239169</v>
      </c>
      <c r="AH19" s="167">
        <f>C19/'Utilisation by Sector'!$U$15</f>
        <v>1.377310157790927</v>
      </c>
      <c r="AI19" s="167">
        <f>D19/'Utilisation by Sector'!$V$15</f>
        <v>2.8657865287262592</v>
      </c>
      <c r="AJ19" s="167">
        <f>E19/'Utilisation by Sector'!$W$15</f>
        <v>1.3293450797827551</v>
      </c>
      <c r="AK19" s="167">
        <f>F19/'Utilisation by Sector'!$X$15</f>
        <v>12.114808591068252</v>
      </c>
      <c r="AL19" s="167">
        <f>G19/'Utilisation by Sector'!$Y$15</f>
        <v>0.33669652089300134</v>
      </c>
      <c r="AM19" s="167">
        <f>H19/'Utilisation by Sector'!$Z$15</f>
        <v>2.9403983815748522</v>
      </c>
      <c r="AN19" s="139">
        <f t="shared" si="10"/>
        <v>87.97731015779091</v>
      </c>
      <c r="AO19" s="139">
        <f t="shared" si="11"/>
        <v>89.465786528726241</v>
      </c>
      <c r="AP19" s="139">
        <f t="shared" si="12"/>
        <v>87.929345079782735</v>
      </c>
      <c r="AQ19" s="139">
        <f t="shared" si="13"/>
        <v>98.714808591068234</v>
      </c>
      <c r="AR19" s="139">
        <f t="shared" si="14"/>
        <v>53.374591257735112</v>
      </c>
      <c r="AS19" s="139">
        <f t="shared" si="15"/>
        <v>2.6403983815748506</v>
      </c>
      <c r="AT19" s="139">
        <f>Table8[[#This Row],[UCM
Electric water heater
(€/MWh) ]]*'W.F. at Appliance Level'!X19</f>
        <v>87.97731015779091</v>
      </c>
      <c r="AU19" s="139">
        <f>Table8[[#This Row],[UCM
A/C
(€/MWh) ]]*'W.F. at Appliance Level'!Y19+Table8[[#This Row],[UCM
Other elecric appliances
(€/MWh) ]]*'W.F. at Appliance Level'!Z19+Table8[[#This Row],[UCM
heat pumps
(€/MWh) ]]*'W.F. at Appliance Level'!AA19+Table8[[#This Row],[UCM
Oil burner
(€/MWh)]]*'W.F. at Appliance Level'!AB19+Table8[[#This Row],[UCM
Pellet/Wood burner
(€/MWh) ]]*'W.F. at Appliance Level'!AC19</f>
        <v>61.048896189776109</v>
      </c>
      <c r="AV19" s="139">
        <f>Table8[[#This Row],[UCM for water heating
(€/MWh) ]]*'W.F. End-use Level'!Y20+Table8[[#This Row],[UCM for space heating
(€/MWh) ]]*'W.F. End-use Level'!Z20</f>
        <v>68.583567612584545</v>
      </c>
      <c r="AW19" s="167">
        <f>C19/'Utilisation by Sector'!$U$21</f>
        <v>2.0659652366863903</v>
      </c>
      <c r="AX19" s="167">
        <f>D19/'Utilisation by Sector'!$V$21</f>
        <v>5.1584157517072668</v>
      </c>
      <c r="AY19" s="167">
        <f>E19/'Utilisation by Sector'!$W$21</f>
        <v>1.9940176196741324</v>
      </c>
      <c r="AZ19" s="167">
        <f>F19/'Utilisation by Sector'!$X$21</f>
        <v>18.172212886602377</v>
      </c>
      <c r="BA19" s="167">
        <f>G19/'Utilisation by Sector'!$Y$21</f>
        <v>0.50504478133950204</v>
      </c>
      <c r="BB19" s="167">
        <f>H19/'Utilisation by Sector'!$Z$21</f>
        <v>4.4105975723622777</v>
      </c>
      <c r="BC19" s="139">
        <f t="shared" si="16"/>
        <v>88.665965236686375</v>
      </c>
      <c r="BD19" s="139">
        <f t="shared" si="17"/>
        <v>91.758415751707247</v>
      </c>
      <c r="BE19" s="139">
        <f t="shared" si="18"/>
        <v>88.594017619674119</v>
      </c>
      <c r="BF19" s="139">
        <f t="shared" si="19"/>
        <v>104.77221288660236</v>
      </c>
      <c r="BG19" s="139">
        <f t="shared" si="20"/>
        <v>53.542939518181612</v>
      </c>
      <c r="BH19" s="139">
        <f t="shared" si="21"/>
        <v>4.1105975723622761</v>
      </c>
      <c r="BI19" s="139">
        <f>Table8[[#This Row],[UCM Electric water heater
(€/MWh)]]*'W.F. at Appliance Level'!X19</f>
        <v>88.665965236686375</v>
      </c>
      <c r="BJ19" s="139">
        <f>Table8[[#This Row],[UCM
A/C
(€/MWh)  ]]*'W.F. at Appliance Level'!Y19+Table8[[#This Row],[UCM
Other elecric appliances
(€/MWh)  ]]*'W.F. at Appliance Level'!Z19+Table8[[#This Row],[UCM
heat pumps
(€/MWh)  ]]*'W.F. at Appliance Level'!AA19+Table8[[#This Row],[UCM
Oil burner
(€/MWh) ]]*'W.F. at Appliance Level'!AB19+Table8[[#This Row],[UCM
Pellet/Wood burner
(€/MWh)  ]]*'W.F. at Appliance Level'!AC19</f>
        <v>63.546041432213379</v>
      </c>
      <c r="BK19" s="139">
        <f>Table8[[#This Row],[UCM for water heating
(€/MWh)  ]]*'W.F. End-use Level'!AA20+Table8[[#This Row],[UCM for space heating
(€/MWh)  ]]*'W.F. End-use Level'!AB20</f>
        <v>70.574690511119428</v>
      </c>
      <c r="BL19" s="134">
        <f>Table8[[#This Row],[Total UCM
(€/MWh)]]*'W.F. at Subsector Level'!H19+Table8[[#This Row],[Total UCM
(€/MWh) ]]*'W.F. at Subsector Level'!I19+Table8[[#This Row],[Total UCM 
(€/MWh)]]*'W.F. at Subsector Level'!J19</f>
        <v>71.748751358647723</v>
      </c>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row>
    <row r="20" spans="1:192" x14ac:dyDescent="0.3">
      <c r="A20" s="147" t="s">
        <v>18</v>
      </c>
      <c r="B20" s="166">
        <f>Table35[[#This Row],[Stove (€/MW)]]</f>
        <v>78554.545454545456</v>
      </c>
      <c r="C20" s="166">
        <f>Table35[[#This Row],[Electric Water heater (€/MW)]]</f>
        <v>39769.333333333328</v>
      </c>
      <c r="D20" s="166">
        <f>Table35[[#This Row],[A/C (€/MW)]]</f>
        <v>57717.708224817063</v>
      </c>
      <c r="E20" s="166">
        <f>Table35[[#This Row],[Other electric appliances (€/MW)]]</f>
        <v>5838.333333333333</v>
      </c>
      <c r="F20" s="166">
        <f>Table35[[#This Row],[Heat pumps (€/MW)]]</f>
        <v>403333.33333333331</v>
      </c>
      <c r="G20" s="166">
        <f>Table35[[#This Row],[Oil Burner (€/MW)]]</f>
        <v>36343.079494316153</v>
      </c>
      <c r="H20" s="166">
        <f>Table35[[#This Row],[Burner (Pellet, wood,…) (€/MW)]]</f>
        <v>75655.249006458034</v>
      </c>
      <c r="I20" s="166">
        <f>'Fuel Prices excl. VAT'!B19</f>
        <v>4.5400000000000003E-2</v>
      </c>
      <c r="J20" s="166">
        <f>'Fuel Prices excl. VAT'!D19</f>
        <v>0.1188</v>
      </c>
      <c r="K20" s="166">
        <f>'Fuel Prices excl. VAT'!F19</f>
        <v>7.4061710536618752E-2</v>
      </c>
      <c r="L20" s="166">
        <f>'Fuel Prices excl. VAT'!H19</f>
        <v>2.6666666666666668E-2</v>
      </c>
      <c r="M20" s="166">
        <f t="shared" si="0"/>
        <v>7.3399999999999993E-2</v>
      </c>
      <c r="N20" s="166">
        <f t="shared" si="1"/>
        <v>2.8661710536618749E-2</v>
      </c>
      <c r="O20" s="166">
        <f t="shared" si="2"/>
        <v>-1.8733333333333334E-2</v>
      </c>
      <c r="P20" s="166">
        <f>B20/'Utilisation by Sector'!$T$9</f>
        <v>2.6976148851148851</v>
      </c>
      <c r="Q20" s="166">
        <f>C20/'Utilisation by Sector'!$T$9</f>
        <v>1.365705128205128</v>
      </c>
      <c r="R20" s="166">
        <f>D20/'Utilisation by Sector'!$V$9</f>
        <v>1.9820641560720145</v>
      </c>
      <c r="S20" s="166">
        <f>E20/'Utilisation by Sector'!$W$9</f>
        <v>0.43805022008803518</v>
      </c>
      <c r="T20" s="166">
        <f>F20/'Utilisation by Sector'!$X$9</f>
        <v>14.122315592903828</v>
      </c>
      <c r="U20" s="166">
        <f>G20/'Utilisation by Sector'!$Y$9</f>
        <v>0.95438759176250398</v>
      </c>
      <c r="V20" s="166">
        <f>H20/'Utilisation by Sector'!$Z$9</f>
        <v>1.9867449844132887</v>
      </c>
      <c r="W20" s="138">
        <f t="shared" si="3"/>
        <v>76.097614885114879</v>
      </c>
      <c r="X20" s="138">
        <f t="shared" si="4"/>
        <v>74.765705128205113</v>
      </c>
      <c r="Y20" s="138">
        <f t="shared" si="5"/>
        <v>75.382064156072005</v>
      </c>
      <c r="Z20" s="138">
        <f t="shared" si="6"/>
        <v>73.838050220088022</v>
      </c>
      <c r="AA20" s="138">
        <f t="shared" si="7"/>
        <v>87.522315592903823</v>
      </c>
      <c r="AB20" s="138">
        <f t="shared" si="8"/>
        <v>29.616098128381253</v>
      </c>
      <c r="AC20" s="138">
        <f t="shared" si="9"/>
        <v>-16.746588348920046</v>
      </c>
      <c r="AD20" s="138">
        <f>Table8[[#This Row],[UCM
Stove
(€/MWh)]]*'W.F. at Appliance Level'!P20</f>
        <v>76.097614885114879</v>
      </c>
      <c r="AE20" s="138">
        <f>Table8[[#This Row],[UCM
Electric water heater
(€/MWh)]]*'W.F. at Appliance Level'!Q20</f>
        <v>74.765705128205113</v>
      </c>
      <c r="AF20" s="138">
        <f>Table8[[#This Row],[UCM
A/C
(€/MWh)]]*'W.F. at Appliance Level'!R20+Table8[[#This Row],[UCM
Other elecric appliances
(€/MWh)]]*'W.F. at Appliance Level'!S20+Table8[[#This Row],[UCM
heat pumps
(€/MWh)]]*'W.F. at Appliance Level'!T20+Table8[[#This Row],[UCM
Oil burner 
(€/MWh)]]*'W.F. at Appliance Level'!U20+Table8[[#This Row],[UCM
Pellet/Wood burner
(€/MWh)]]*'W.F. at Appliance Level'!V20</f>
        <v>49.922387949705019</v>
      </c>
      <c r="AG20" s="138">
        <f>Table8[[#This Row],[UCM for cooking
(€/MWh)]]*'W.F. End-use Level'!V21+Table8[[#This Row],[UCM for water heating
(€/MWh)]]*'W.F. End-use Level'!W21+Table8[[#This Row],[UCM for space heating
(€/MWh)]]*'W.F. End-use Level'!X21</f>
        <v>57.327494730538945</v>
      </c>
      <c r="AH20" s="166">
        <f>C20/'Utilisation by Sector'!$U$15</f>
        <v>1.2746581196581195</v>
      </c>
      <c r="AI20" s="166">
        <f>D20/'Utilisation by Sector'!$V$15</f>
        <v>1.5416054547226778</v>
      </c>
      <c r="AJ20" s="166">
        <f>E20/'Utilisation by Sector'!$W$15</f>
        <v>0.40884687208216619</v>
      </c>
      <c r="AK20" s="166">
        <f>F20/'Utilisation by Sector'!$X$15</f>
        <v>13.180827886710238</v>
      </c>
      <c r="AL20" s="166">
        <f>G20/'Utilisation by Sector'!$Y$15</f>
        <v>0.89076175231167043</v>
      </c>
      <c r="AM20" s="166">
        <f>H20/'Utilisation by Sector'!$Z$15</f>
        <v>1.8542953187857361</v>
      </c>
      <c r="AN20" s="138">
        <f t="shared" si="10"/>
        <v>74.674658119658105</v>
      </c>
      <c r="AO20" s="138">
        <f t="shared" si="11"/>
        <v>74.941605454722662</v>
      </c>
      <c r="AP20" s="138">
        <f t="shared" si="12"/>
        <v>73.808846872082157</v>
      </c>
      <c r="AQ20" s="138">
        <f t="shared" si="13"/>
        <v>86.580827886710225</v>
      </c>
      <c r="AR20" s="138">
        <f t="shared" si="14"/>
        <v>29.552472288930421</v>
      </c>
      <c r="AS20" s="138">
        <f t="shared" si="15"/>
        <v>-16.879038014547596</v>
      </c>
      <c r="AT20" s="138">
        <f>Table8[[#This Row],[UCM
Electric water heater
(€/MWh) ]]*'W.F. at Appliance Level'!X20</f>
        <v>74.674658119658105</v>
      </c>
      <c r="AU20" s="138">
        <f>Table8[[#This Row],[UCM
A/C
(€/MWh) ]]*'W.F. at Appliance Level'!Y20+Table8[[#This Row],[UCM
Other elecric appliances
(€/MWh) ]]*'W.F. at Appliance Level'!Z20+Table8[[#This Row],[UCM
heat pumps
(€/MWh) ]]*'W.F. at Appliance Level'!AA20+Table8[[#This Row],[UCM
Oil burner
(€/MWh)]]*'W.F. at Appliance Level'!AB20+Table8[[#This Row],[UCM
Pellet/Wood burner
(€/MWh) ]]*'W.F. at Appliance Level'!AC20</f>
        <v>43.548966903953925</v>
      </c>
      <c r="AV20" s="138">
        <f>Table8[[#This Row],[UCM for water heating
(€/MWh) ]]*'W.F. End-use Level'!Y21+Table8[[#This Row],[UCM for space heating
(€/MWh) ]]*'W.F. End-use Level'!Z21</f>
        <v>50.852912424893937</v>
      </c>
      <c r="AW20" s="166">
        <f>C20/'Utilisation by Sector'!$U$21</f>
        <v>1.9119871794871792</v>
      </c>
      <c r="AX20" s="166">
        <f>D20/'Utilisation by Sector'!$V$21</f>
        <v>2.7748898185008204</v>
      </c>
      <c r="AY20" s="166">
        <f>E20/'Utilisation by Sector'!$W$21</f>
        <v>0.61327030812324923</v>
      </c>
      <c r="AZ20" s="166">
        <f>F20/'Utilisation by Sector'!$X$21</f>
        <v>19.77124183006536</v>
      </c>
      <c r="BA20" s="166">
        <f>G20/'Utilisation by Sector'!$Y$21</f>
        <v>1.3361426284675055</v>
      </c>
      <c r="BB20" s="166">
        <f>H20/'Utilisation by Sector'!$Z$21</f>
        <v>2.7814429781786041</v>
      </c>
      <c r="BC20" s="138">
        <f t="shared" si="16"/>
        <v>75.311987179487176</v>
      </c>
      <c r="BD20" s="138">
        <f t="shared" si="17"/>
        <v>76.174889818500816</v>
      </c>
      <c r="BE20" s="138">
        <f t="shared" si="18"/>
        <v>74.013270308123239</v>
      </c>
      <c r="BF20" s="138">
        <f t="shared" si="19"/>
        <v>93.171241830065355</v>
      </c>
      <c r="BG20" s="138">
        <f t="shared" si="20"/>
        <v>29.997853165086255</v>
      </c>
      <c r="BH20" s="138">
        <f t="shared" si="21"/>
        <v>-15.951890355154731</v>
      </c>
      <c r="BI20" s="138">
        <f>Table8[[#This Row],[UCM Electric water heater
(€/MWh)]]*'W.F. at Appliance Level'!X20</f>
        <v>75.311987179487176</v>
      </c>
      <c r="BJ20" s="138">
        <f>Table8[[#This Row],[UCM
A/C
(€/MWh)  ]]*'W.F. at Appliance Level'!Y20+Table8[[#This Row],[UCM
Other elecric appliances
(€/MWh)  ]]*'W.F. at Appliance Level'!Z20+Table8[[#This Row],[UCM
heat pumps
(€/MWh)  ]]*'W.F. at Appliance Level'!AA20+Table8[[#This Row],[UCM
Oil burner
(€/MWh) ]]*'W.F. at Appliance Level'!AB20+Table8[[#This Row],[UCM
Pellet/Wood burner
(€/MWh)  ]]*'W.F. at Appliance Level'!AC20</f>
        <v>45.848023614624424</v>
      </c>
      <c r="BK20" s="138">
        <f>Table8[[#This Row],[UCM for water heating
(€/MWh)  ]]*'W.F. End-use Level'!AA21+Table8[[#This Row],[UCM for space heating
(€/MWh)  ]]*'W.F. End-use Level'!AB21</f>
        <v>52.762028615102622</v>
      </c>
      <c r="BL20" s="133">
        <f>Table8[[#This Row],[Total UCM
(€/MWh)]]*'W.F. at Subsector Level'!H20+Table8[[#This Row],[Total UCM
(€/MWh) ]]*'W.F. at Subsector Level'!I20+Table8[[#This Row],[Total UCM 
(€/MWh)]]*'W.F. at Subsector Level'!J20</f>
        <v>53.647478590178508</v>
      </c>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row>
    <row r="21" spans="1:192" x14ac:dyDescent="0.3">
      <c r="A21" s="147" t="s">
        <v>19</v>
      </c>
      <c r="B21" s="167">
        <f>Table35[[#This Row],[Stove (€/MW)]]</f>
        <v>132298.49462365592</v>
      </c>
      <c r="C21" s="167">
        <f>Table35[[#This Row],[Electric Water heater (€/MW)]]</f>
        <v>32280.714285714283</v>
      </c>
      <c r="D21" s="167">
        <f>Table35[[#This Row],[A/C (€/MW)]]</f>
        <v>97999.587515482024</v>
      </c>
      <c r="E21" s="167">
        <f>Table35[[#This Row],[Other electric appliances (€/MW)]]</f>
        <v>23486.259259259259</v>
      </c>
      <c r="F21" s="167">
        <f>Table35[[#This Row],[Heat pumps (€/MW)]]</f>
        <v>123972.92396582458</v>
      </c>
      <c r="G21" s="167">
        <f>Table35[[#This Row],[Oil Burner (€/MW)]]</f>
        <v>22436.915634674922</v>
      </c>
      <c r="H21" s="167">
        <f>Table35[[#This Row],[Burner (Pellet, wood,…) (€/MW)]]</f>
        <v>131818.75</v>
      </c>
      <c r="I21" s="167">
        <f>'Fuel Prices excl. VAT'!B20</f>
        <v>5.1400000000000001E-2</v>
      </c>
      <c r="J21" s="167">
        <f>'Fuel Prices excl. VAT'!D20</f>
        <v>0.25609999999999999</v>
      </c>
      <c r="K21" s="167">
        <f>'Fuel Prices excl. VAT'!F20</f>
        <v>7.2631578947368422E-2</v>
      </c>
      <c r="L21" s="167">
        <f>'Fuel Prices excl. VAT'!H20</f>
        <v>4.4124999999999998E-2</v>
      </c>
      <c r="M21" s="167">
        <f t="shared" si="0"/>
        <v>0.20469999999999999</v>
      </c>
      <c r="N21" s="167">
        <f t="shared" si="1"/>
        <v>2.1231578947368421E-2</v>
      </c>
      <c r="O21" s="167">
        <f t="shared" si="2"/>
        <v>-7.2750000000000037E-3</v>
      </c>
      <c r="P21" s="167">
        <f>B21/'Utilisation by Sector'!$T$9</f>
        <v>4.5432175351530191</v>
      </c>
      <c r="Q21" s="167">
        <f>C21/'Utilisation by Sector'!$T$9</f>
        <v>1.1085410125588695</v>
      </c>
      <c r="R21" s="167">
        <f>D21/'Utilisation by Sector'!$V$9</f>
        <v>3.3653704503943005</v>
      </c>
      <c r="S21" s="167">
        <f>E21/'Utilisation by Sector'!$W$9</f>
        <v>1.7621743141701125</v>
      </c>
      <c r="T21" s="167">
        <f>F21/'Utilisation by Sector'!$X$9</f>
        <v>4.3407886542655669</v>
      </c>
      <c r="U21" s="167">
        <f>G21/'Utilisation by Sector'!$Y$9</f>
        <v>0.58920471729713553</v>
      </c>
      <c r="V21" s="167">
        <f>H21/'Utilisation by Sector'!$Z$9</f>
        <v>3.4616268382352939</v>
      </c>
      <c r="W21" s="139">
        <f t="shared" si="3"/>
        <v>209.24321753515301</v>
      </c>
      <c r="X21" s="139">
        <f t="shared" si="4"/>
        <v>205.80854101255886</v>
      </c>
      <c r="Y21" s="139">
        <f t="shared" si="5"/>
        <v>208.06537045039428</v>
      </c>
      <c r="Z21" s="139">
        <f t="shared" si="6"/>
        <v>206.46217431417011</v>
      </c>
      <c r="AA21" s="139">
        <f t="shared" si="7"/>
        <v>209.04078865426555</v>
      </c>
      <c r="AB21" s="139">
        <f t="shared" si="8"/>
        <v>21.820783664665555</v>
      </c>
      <c r="AC21" s="139">
        <f t="shared" si="9"/>
        <v>-3.81337316176471</v>
      </c>
      <c r="AD21" s="139">
        <f>Table8[[#This Row],[UCM
Stove
(€/MWh)]]*'W.F. at Appliance Level'!P21</f>
        <v>209.24321753515301</v>
      </c>
      <c r="AE21" s="139">
        <f>Table8[[#This Row],[UCM
Electric water heater
(€/MWh)]]*'W.F. at Appliance Level'!Q21</f>
        <v>205.80854101255886</v>
      </c>
      <c r="AF21" s="139">
        <f>Table8[[#This Row],[UCM
A/C
(€/MWh)]]*'W.F. at Appliance Level'!R21+Table8[[#This Row],[UCM
Other elecric appliances
(€/MWh)]]*'W.F. at Appliance Level'!S21+Table8[[#This Row],[UCM
heat pumps
(€/MWh)]]*'W.F. at Appliance Level'!T21+Table8[[#This Row],[UCM
Oil burner 
(€/MWh)]]*'W.F. at Appliance Level'!U21+Table8[[#This Row],[UCM
Pellet/Wood burner
(€/MWh)]]*'W.F. at Appliance Level'!V21</f>
        <v>128.31514878434618</v>
      </c>
      <c r="AG21" s="139">
        <f>Table8[[#This Row],[UCM for cooking
(€/MWh)]]*'W.F. End-use Level'!V22+Table8[[#This Row],[UCM for water heating
(€/MWh)]]*'W.F. End-use Level'!W22+Table8[[#This Row],[UCM for space heating
(€/MWh)]]*'W.F. End-use Level'!X22</f>
        <v>140.64353110272847</v>
      </c>
      <c r="AH21" s="167">
        <f>C21/'Utilisation by Sector'!$U$15</f>
        <v>1.0346382783882784</v>
      </c>
      <c r="AI21" s="167">
        <f>D21/'Utilisation by Sector'!$V$15</f>
        <v>2.6175103503066781</v>
      </c>
      <c r="AJ21" s="167">
        <f>E21/'Utilisation by Sector'!$W$15</f>
        <v>1.6446960265587716</v>
      </c>
      <c r="AK21" s="167">
        <f>F21/'Utilisation by Sector'!$X$15</f>
        <v>4.0514027439811953</v>
      </c>
      <c r="AL21" s="167">
        <f>G21/'Utilisation by Sector'!$Y$15</f>
        <v>0.54992440281065991</v>
      </c>
      <c r="AM21" s="167">
        <f>H21/'Utilisation by Sector'!$Z$15</f>
        <v>3.2308517156862746</v>
      </c>
      <c r="AN21" s="139">
        <f t="shared" si="10"/>
        <v>205.73463827838827</v>
      </c>
      <c r="AO21" s="139">
        <f t="shared" si="11"/>
        <v>207.31751035030666</v>
      </c>
      <c r="AP21" s="139">
        <f t="shared" si="12"/>
        <v>206.34469602655875</v>
      </c>
      <c r="AQ21" s="139">
        <f t="shared" si="13"/>
        <v>208.75140274398117</v>
      </c>
      <c r="AR21" s="139">
        <f t="shared" si="14"/>
        <v>21.781503350179079</v>
      </c>
      <c r="AS21" s="139">
        <f t="shared" si="15"/>
        <v>-4.0441482843137297</v>
      </c>
      <c r="AT21" s="139">
        <f>Table8[[#This Row],[UCM
Electric water heater
(€/MWh) ]]*'W.F. at Appliance Level'!X21</f>
        <v>205.73463827838827</v>
      </c>
      <c r="AU21" s="139">
        <f>Table8[[#This Row],[UCM
A/C
(€/MWh) ]]*'W.F. at Appliance Level'!Y21+Table8[[#This Row],[UCM
Other elecric appliances
(€/MWh) ]]*'W.F. at Appliance Level'!Z21+Table8[[#This Row],[UCM
heat pumps
(€/MWh) ]]*'W.F. at Appliance Level'!AA21+Table8[[#This Row],[UCM
Oil burner
(€/MWh)]]*'W.F. at Appliance Level'!AB21+Table8[[#This Row],[UCM
Pellet/Wood burner
(€/MWh) ]]*'W.F. at Appliance Level'!AC21</f>
        <v>108.4515670400383</v>
      </c>
      <c r="AV21" s="139">
        <f>Table8[[#This Row],[UCM for water heating
(€/MWh) ]]*'W.F. End-use Level'!Y22+Table8[[#This Row],[UCM for space heating
(€/MWh) ]]*'W.F. End-use Level'!Z22</f>
        <v>118.81003015244303</v>
      </c>
      <c r="AW21" s="167">
        <f>C21/'Utilisation by Sector'!$U$21</f>
        <v>1.5519574175824173</v>
      </c>
      <c r="AX21" s="167">
        <f>D21/'Utilisation by Sector'!$V$21</f>
        <v>4.7115186305520202</v>
      </c>
      <c r="AY21" s="167">
        <f>E21/'Utilisation by Sector'!$W$21</f>
        <v>2.4670440398381577</v>
      </c>
      <c r="AZ21" s="167">
        <f>F21/'Utilisation by Sector'!$X$21</f>
        <v>6.0771041159717933</v>
      </c>
      <c r="BA21" s="167">
        <f>G21/'Utilisation by Sector'!$Y$21</f>
        <v>0.8248866042159898</v>
      </c>
      <c r="BB21" s="167">
        <f>H21/'Utilisation by Sector'!$Z$21</f>
        <v>4.8462775735294121</v>
      </c>
      <c r="BC21" s="139">
        <f t="shared" si="16"/>
        <v>206.25195741758242</v>
      </c>
      <c r="BD21" s="139">
        <f t="shared" si="17"/>
        <v>209.411518630552</v>
      </c>
      <c r="BE21" s="139">
        <f t="shared" si="18"/>
        <v>207.16704403983815</v>
      </c>
      <c r="BF21" s="139">
        <f t="shared" si="19"/>
        <v>210.77710411597178</v>
      </c>
      <c r="BG21" s="139">
        <f t="shared" si="20"/>
        <v>22.056465551584409</v>
      </c>
      <c r="BH21" s="139">
        <f t="shared" si="21"/>
        <v>-2.4287224264705918</v>
      </c>
      <c r="BI21" s="139">
        <f>Table8[[#This Row],[UCM Electric water heater
(€/MWh)]]*'W.F. at Appliance Level'!X21</f>
        <v>206.25195741758242</v>
      </c>
      <c r="BJ21" s="139">
        <f>Table8[[#This Row],[UCM
A/C
(€/MWh)  ]]*'W.F. at Appliance Level'!Y21+Table8[[#This Row],[UCM
Other elecric appliances
(€/MWh)  ]]*'W.F. at Appliance Level'!Z21+Table8[[#This Row],[UCM
heat pumps
(€/MWh)  ]]*'W.F. at Appliance Level'!AA21+Table8[[#This Row],[UCM
Oil burner
(€/MWh) ]]*'W.F. at Appliance Level'!AB21+Table8[[#This Row],[UCM
Pellet/Wood burner
(€/MWh)  ]]*'W.F. at Appliance Level'!AC21</f>
        <v>109.95409146790939</v>
      </c>
      <c r="BK21" s="139">
        <f>Table8[[#This Row],[UCM for water heating
(€/MWh)  ]]*'W.F. End-use Level'!AA22+Table8[[#This Row],[UCM for space heating
(€/MWh)  ]]*'W.F. End-use Level'!AB22</f>
        <v>120.20765233462019</v>
      </c>
      <c r="BL21" s="134">
        <f>Table8[[#This Row],[Total UCM
(€/MWh)]]*'W.F. at Subsector Level'!H21+Table8[[#This Row],[Total UCM
(€/MWh) ]]*'W.F. at Subsector Level'!I21+Table8[[#This Row],[Total UCM 
(€/MWh)]]*'W.F. at Subsector Level'!J21</f>
        <v>126.55373786326392</v>
      </c>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c r="CS21" s="164"/>
      <c r="CT21" s="164"/>
      <c r="CU21" s="164"/>
      <c r="CV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row>
    <row r="22" spans="1:192" x14ac:dyDescent="0.3">
      <c r="A22" s="147" t="s">
        <v>20</v>
      </c>
      <c r="B22" s="166">
        <f>Table35[[#This Row],[Stove (€/MW)]]</f>
        <v>125290.32258064517</v>
      </c>
      <c r="C22" s="166">
        <f>Table35[[#This Row],[Electric Water heater (€/MW)]]</f>
        <v>20345.203484902733</v>
      </c>
      <c r="D22" s="166">
        <f>Table35[[#This Row],[A/C (€/MW)]]</f>
        <v>139807.94225902919</v>
      </c>
      <c r="E22" s="166">
        <f>Table35[[#This Row],[Other electric appliances (€/MW)]]</f>
        <v>25192.603603603602</v>
      </c>
      <c r="F22" s="166">
        <f>Table35[[#This Row],[Heat pumps (€/MW)]]</f>
        <v>352299.12280701753</v>
      </c>
      <c r="G22" s="166">
        <f>Table35[[#This Row],[Oil Burner (€/MW)]]</f>
        <v>35580.153936545241</v>
      </c>
      <c r="H22" s="166">
        <f>Table35[[#This Row],[Burner (Pellet, wood,…) (€/MW)]]</f>
        <v>105171.75608498839</v>
      </c>
      <c r="I22" s="166">
        <f>'Fuel Prices excl. VAT'!B21</f>
        <v>5.62E-2</v>
      </c>
      <c r="J22" s="166">
        <f>'Fuel Prices excl. VAT'!D21</f>
        <v>0.16250000000000001</v>
      </c>
      <c r="K22" s="166">
        <f>'Fuel Prices excl. VAT'!F21</f>
        <v>8.1987368421052628E-2</v>
      </c>
      <c r="L22" s="166">
        <f>'Fuel Prices excl. VAT'!H21</f>
        <v>4.2187500000000003E-2</v>
      </c>
      <c r="M22" s="166">
        <f t="shared" si="0"/>
        <v>0.10630000000000001</v>
      </c>
      <c r="N22" s="166">
        <f t="shared" si="1"/>
        <v>2.5787368421052628E-2</v>
      </c>
      <c r="O22" s="166">
        <f t="shared" si="2"/>
        <v>-1.4012499999999997E-2</v>
      </c>
      <c r="P22" s="166">
        <f>B22/'Utilisation by Sector'!$T$9</f>
        <v>4.3025522864232544</v>
      </c>
      <c r="Q22" s="166">
        <f>C22/'Utilisation by Sector'!$T$9</f>
        <v>0.69866770209144002</v>
      </c>
      <c r="R22" s="166">
        <f>D22/'Utilisation by Sector'!$V$9</f>
        <v>4.8010969182358929</v>
      </c>
      <c r="S22" s="166">
        <f>E22/'Utilisation by Sector'!$W$9</f>
        <v>1.8902013508105944</v>
      </c>
      <c r="T22" s="166">
        <f>F22/'Utilisation by Sector'!$X$9</f>
        <v>12.335403459629465</v>
      </c>
      <c r="U22" s="166">
        <f>G22/'Utilisation by Sector'!$Y$9</f>
        <v>0.93435278194709137</v>
      </c>
      <c r="V22" s="166">
        <f>H22/'Utilisation by Sector'!$Z$9</f>
        <v>2.7618633425679722</v>
      </c>
      <c r="W22" s="138">
        <f t="shared" si="3"/>
        <v>110.60255228642326</v>
      </c>
      <c r="X22" s="138">
        <f t="shared" si="4"/>
        <v>106.99866770209145</v>
      </c>
      <c r="Y22" s="138">
        <f t="shared" si="5"/>
        <v>111.10109691823591</v>
      </c>
      <c r="Z22" s="138">
        <f t="shared" si="6"/>
        <v>108.19020135081061</v>
      </c>
      <c r="AA22" s="138">
        <f t="shared" si="7"/>
        <v>118.63540345962947</v>
      </c>
      <c r="AB22" s="138">
        <f t="shared" si="8"/>
        <v>26.721721202999721</v>
      </c>
      <c r="AC22" s="138">
        <f t="shared" si="9"/>
        <v>-11.250636657432025</v>
      </c>
      <c r="AD22" s="138">
        <f>Table8[[#This Row],[UCM
Stove
(€/MWh)]]*'W.F. at Appliance Level'!P22</f>
        <v>110.60255228642326</v>
      </c>
      <c r="AE22" s="138">
        <f>Table8[[#This Row],[UCM
Electric water heater
(€/MWh)]]*'W.F. at Appliance Level'!Q22</f>
        <v>106.99866770209145</v>
      </c>
      <c r="AF22" s="138">
        <f>Table8[[#This Row],[UCM
A/C
(€/MWh)]]*'W.F. at Appliance Level'!R22+Table8[[#This Row],[UCM
Other elecric appliances
(€/MWh)]]*'W.F. at Appliance Level'!S22+Table8[[#This Row],[UCM
heat pumps
(€/MWh)]]*'W.F. at Appliance Level'!T22+Table8[[#This Row],[UCM
Oil burner 
(€/MWh)]]*'W.F. at Appliance Level'!U22+Table8[[#This Row],[UCM
Pellet/Wood burner
(€/MWh)]]*'W.F. at Appliance Level'!V22</f>
        <v>70.679557254848746</v>
      </c>
      <c r="AG22" s="138">
        <f>Table8[[#This Row],[UCM for cooking
(€/MWh)]]*'W.F. End-use Level'!V23+Table8[[#This Row],[UCM for water heating
(€/MWh)]]*'W.F. End-use Level'!W23+Table8[[#This Row],[UCM for space heating
(€/MWh)]]*'W.F. End-use Level'!X23</f>
        <v>76.191450630410557</v>
      </c>
      <c r="AH22" s="166">
        <f>C22/'Utilisation by Sector'!$U$15</f>
        <v>0.65208985528534402</v>
      </c>
      <c r="AI22" s="166">
        <f>D22/'Utilisation by Sector'!$V$15</f>
        <v>3.7341864919612497</v>
      </c>
      <c r="AJ22" s="166">
        <f>E22/'Utilisation by Sector'!$W$15</f>
        <v>1.7641879274232215</v>
      </c>
      <c r="AK22" s="166">
        <f>F22/'Utilisation by Sector'!$X$15</f>
        <v>11.513043228987501</v>
      </c>
      <c r="AL22" s="166">
        <f>G22/'Utilisation by Sector'!$Y$15</f>
        <v>0.87206259648395201</v>
      </c>
      <c r="AM22" s="166">
        <f>H22/'Utilisation by Sector'!$Z$15</f>
        <v>2.5777391197301074</v>
      </c>
      <c r="AN22" s="138">
        <f t="shared" si="10"/>
        <v>106.95208985528535</v>
      </c>
      <c r="AO22" s="138">
        <f t="shared" si="11"/>
        <v>110.03418649196126</v>
      </c>
      <c r="AP22" s="138">
        <f t="shared" si="12"/>
        <v>108.06418792742323</v>
      </c>
      <c r="AQ22" s="138">
        <f t="shared" si="13"/>
        <v>117.81304322898751</v>
      </c>
      <c r="AR22" s="138">
        <f t="shared" si="14"/>
        <v>26.659431017536583</v>
      </c>
      <c r="AS22" s="138">
        <f t="shared" si="15"/>
        <v>-11.43476088026989</v>
      </c>
      <c r="AT22" s="138">
        <f>Table8[[#This Row],[UCM
Electric water heater
(€/MWh) ]]*'W.F. at Appliance Level'!X22</f>
        <v>106.95208985528535</v>
      </c>
      <c r="AU22" s="138">
        <f>Table8[[#This Row],[UCM
A/C
(€/MWh) ]]*'W.F. at Appliance Level'!Y22+Table8[[#This Row],[UCM
Other elecric appliances
(€/MWh) ]]*'W.F. at Appliance Level'!Z22+Table8[[#This Row],[UCM
heat pumps
(€/MWh) ]]*'W.F. at Appliance Level'!AA22+Table8[[#This Row],[UCM
Oil burner
(€/MWh)]]*'W.F. at Appliance Level'!AB22+Table8[[#This Row],[UCM
Pellet/Wood burner
(€/MWh) ]]*'W.F. at Appliance Level'!AC22</f>
        <v>60.767974964553865</v>
      </c>
      <c r="AV22" s="138">
        <f>Table8[[#This Row],[UCM for water heating
(€/MWh) ]]*'W.F. End-use Level'!Y23+Table8[[#This Row],[UCM for space heating
(€/MWh) ]]*'W.F. End-use Level'!Z23</f>
        <v>67.430647141433965</v>
      </c>
      <c r="AW22" s="166">
        <f>C22/'Utilisation by Sector'!$U$21</f>
        <v>0.97813478292801603</v>
      </c>
      <c r="AX22" s="166">
        <f>D22/'Utilisation by Sector'!$V$21</f>
        <v>6.7215356855302497</v>
      </c>
      <c r="AY22" s="166">
        <f>E22/'Utilisation by Sector'!$W$21</f>
        <v>2.6462818911348323</v>
      </c>
      <c r="AZ22" s="166">
        <f>F22/'Utilisation by Sector'!$X$21</f>
        <v>17.269564843481252</v>
      </c>
      <c r="BA22" s="166">
        <f>G22/'Utilisation by Sector'!$Y$21</f>
        <v>1.308093894725928</v>
      </c>
      <c r="BB22" s="166">
        <f>H22/'Utilisation by Sector'!$Z$21</f>
        <v>3.8666086795951613</v>
      </c>
      <c r="BC22" s="138">
        <f t="shared" si="16"/>
        <v>107.27813478292802</v>
      </c>
      <c r="BD22" s="138">
        <f t="shared" si="17"/>
        <v>113.02153568553027</v>
      </c>
      <c r="BE22" s="138">
        <f t="shared" si="18"/>
        <v>108.94628189113484</v>
      </c>
      <c r="BF22" s="138">
        <f t="shared" si="19"/>
        <v>123.56956484348126</v>
      </c>
      <c r="BG22" s="138">
        <f t="shared" si="20"/>
        <v>27.095462315778558</v>
      </c>
      <c r="BH22" s="138">
        <f t="shared" si="21"/>
        <v>-10.145891320404836</v>
      </c>
      <c r="BI22" s="138">
        <f>Table8[[#This Row],[UCM Electric water heater
(€/MWh)]]*'W.F. at Appliance Level'!X22</f>
        <v>107.27813478292802</v>
      </c>
      <c r="BJ22" s="138">
        <f>Table8[[#This Row],[UCM
A/C
(€/MWh)  ]]*'W.F. at Appliance Level'!Y22+Table8[[#This Row],[UCM
Other elecric appliances
(€/MWh)  ]]*'W.F. at Appliance Level'!Z22+Table8[[#This Row],[UCM
heat pumps
(€/MWh)  ]]*'W.F. at Appliance Level'!AA22+Table8[[#This Row],[UCM
Oil burner
(€/MWh) ]]*'W.F. at Appliance Level'!AB22+Table8[[#This Row],[UCM
Pellet/Wood burner
(€/MWh)  ]]*'W.F. at Appliance Level'!AC22</f>
        <v>63.385167881096315</v>
      </c>
      <c r="BK22" s="138">
        <f>Table8[[#This Row],[UCM for water heating
(€/MWh)  ]]*'W.F. End-use Level'!AA23+Table8[[#This Row],[UCM for space heating
(€/MWh)  ]]*'W.F. End-use Level'!AB23</f>
        <v>69.717311520299035</v>
      </c>
      <c r="BL22" s="133">
        <f>Table8[[#This Row],[Total UCM
(€/MWh)]]*'W.F. at Subsector Level'!H22+Table8[[#This Row],[Total UCM
(€/MWh) ]]*'W.F. at Subsector Level'!I22+Table8[[#This Row],[Total UCM 
(€/MWh)]]*'W.F. at Subsector Level'!J22</f>
        <v>71.113136430714519</v>
      </c>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DQ22" s="164"/>
      <c r="DR22" s="164"/>
      <c r="DS22" s="164"/>
      <c r="DT22" s="164"/>
      <c r="DU22" s="164"/>
      <c r="DV22" s="164"/>
      <c r="DW22" s="164"/>
      <c r="DX22" s="164"/>
      <c r="DY22" s="164"/>
      <c r="DZ22" s="164"/>
      <c r="EA22" s="164"/>
      <c r="EB22" s="164"/>
      <c r="EC22" s="164"/>
      <c r="ED22" s="164"/>
      <c r="EE22" s="164"/>
      <c r="EF22" s="164"/>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row>
    <row r="23" spans="1:192" x14ac:dyDescent="0.3">
      <c r="A23" s="147" t="s">
        <v>21</v>
      </c>
      <c r="B23" s="167">
        <f>Table35[[#This Row],[Stove (€/MW)]]</f>
        <v>213275.45768693477</v>
      </c>
      <c r="C23" s="167">
        <f>Table35[[#This Row],[Electric Water heater (€/MW)]]</f>
        <v>57834.25</v>
      </c>
      <c r="D23" s="167">
        <f>Table35[[#This Row],[A/C (€/MW)]]</f>
        <v>82274.712301587293</v>
      </c>
      <c r="E23" s="167">
        <f>Table35[[#This Row],[Other electric appliances (€/MW)]]</f>
        <v>23176.666666666664</v>
      </c>
      <c r="F23" s="167">
        <f>Table35[[#This Row],[Heat pumps (€/MW)]]</f>
        <v>180332.14285714284</v>
      </c>
      <c r="G23" s="167">
        <f>Table35[[#This Row],[Oil Burner (€/MW)]]</f>
        <v>12184.768926223373</v>
      </c>
      <c r="H23" s="167">
        <f>Table35[[#This Row],[Burner (Pellet, wood,…) (€/MW)]]</f>
        <v>150921.37362637362</v>
      </c>
      <c r="I23" s="167">
        <f>'Fuel Prices excl. VAT'!B22</f>
        <v>5.4699999999999999E-2</v>
      </c>
      <c r="J23" s="167">
        <f>'Fuel Prices excl. VAT'!D22</f>
        <v>0.14410000000000001</v>
      </c>
      <c r="K23" s="167">
        <f>'Fuel Prices excl. VAT'!F22</f>
        <v>9.3470526315789476E-2</v>
      </c>
      <c r="L23" s="167">
        <f>'Fuel Prices excl. VAT'!H22</f>
        <v>4.1666666666666671E-2</v>
      </c>
      <c r="M23" s="167">
        <f t="shared" si="0"/>
        <v>8.9400000000000007E-2</v>
      </c>
      <c r="N23" s="167">
        <f t="shared" si="1"/>
        <v>3.8770526315789478E-2</v>
      </c>
      <c r="O23" s="167">
        <f t="shared" si="2"/>
        <v>-1.3033333333333327E-2</v>
      </c>
      <c r="P23" s="167">
        <f>B23/'Utilisation by Sector'!$T$9</f>
        <v>7.3240198381502326</v>
      </c>
      <c r="Q23" s="167">
        <f>C23/'Utilisation by Sector'!$T$9</f>
        <v>1.9860662774725275</v>
      </c>
      <c r="R23" s="167">
        <f>D23/'Utilisation by Sector'!$V$9</f>
        <v>2.8253678674995637</v>
      </c>
      <c r="S23" s="167">
        <f>E23/'Utilisation by Sector'!$W$9</f>
        <v>1.7389455782312924</v>
      </c>
      <c r="T23" s="167">
        <f>F23/'Utilisation by Sector'!$X$9</f>
        <v>6.3141506602641053</v>
      </c>
      <c r="U23" s="167">
        <f>G23/'Utilisation by Sector'!$Y$9</f>
        <v>0.31997817558359698</v>
      </c>
      <c r="V23" s="167">
        <f>H23/'Utilisation by Sector'!$Z$9</f>
        <v>3.9632713662388031</v>
      </c>
      <c r="W23" s="139">
        <f t="shared" si="3"/>
        <v>96.724019838150241</v>
      </c>
      <c r="X23" s="139">
        <f t="shared" si="4"/>
        <v>91.386066277472537</v>
      </c>
      <c r="Y23" s="139">
        <f t="shared" si="5"/>
        <v>92.225367867499571</v>
      </c>
      <c r="Z23" s="139">
        <f t="shared" si="6"/>
        <v>91.138945578231301</v>
      </c>
      <c r="AA23" s="139">
        <f t="shared" si="7"/>
        <v>95.71415066026411</v>
      </c>
      <c r="AB23" s="139">
        <f t="shared" si="8"/>
        <v>39.090504491373075</v>
      </c>
      <c r="AC23" s="139">
        <f t="shared" si="9"/>
        <v>-9.0700619670945244</v>
      </c>
      <c r="AD23" s="139">
        <f>Table8[[#This Row],[UCM
Stove
(€/MWh)]]*'W.F. at Appliance Level'!P23</f>
        <v>96.724019838150241</v>
      </c>
      <c r="AE23" s="139">
        <f>Table8[[#This Row],[UCM
Electric water heater
(€/MWh)]]*'W.F. at Appliance Level'!Q23</f>
        <v>91.386066277472537</v>
      </c>
      <c r="AF23" s="139">
        <f>Table8[[#This Row],[UCM
A/C
(€/MWh)]]*'W.F. at Appliance Level'!R23+Table8[[#This Row],[UCM
Other elecric appliances
(€/MWh)]]*'W.F. at Appliance Level'!S23+Table8[[#This Row],[UCM
heat pumps
(€/MWh)]]*'W.F. at Appliance Level'!T23+Table8[[#This Row],[UCM
Oil burner 
(€/MWh)]]*'W.F. at Appliance Level'!U23+Table8[[#This Row],[UCM
Pellet/Wood burner
(€/MWh)]]*'W.F. at Appliance Level'!V23</f>
        <v>61.819781326054702</v>
      </c>
      <c r="AG23" s="139">
        <f>Table8[[#This Row],[UCM for cooking
(€/MWh)]]*'W.F. End-use Level'!V24+Table8[[#This Row],[UCM for water heating
(€/MWh)]]*'W.F. End-use Level'!W24+Table8[[#This Row],[UCM for space heating
(€/MWh)]]*'W.F. End-use Level'!X24</f>
        <v>68.235945843490228</v>
      </c>
      <c r="AH23" s="167">
        <f>C23/'Utilisation by Sector'!$U$15</f>
        <v>1.853661858974359</v>
      </c>
      <c r="AI23" s="167">
        <f>D23/'Utilisation by Sector'!$V$15</f>
        <v>2.1975083413885494</v>
      </c>
      <c r="AJ23" s="167">
        <f>E23/'Utilisation by Sector'!$W$15</f>
        <v>1.6230158730158728</v>
      </c>
      <c r="AK23" s="167">
        <f>F23/'Utilisation by Sector'!$X$15</f>
        <v>5.8932072829131643</v>
      </c>
      <c r="AL23" s="167">
        <f>G23/'Utilisation by Sector'!$Y$15</f>
        <v>0.29864629721135716</v>
      </c>
      <c r="AM23" s="167">
        <f>H23/'Utilisation by Sector'!$Z$15</f>
        <v>3.6990532751562162</v>
      </c>
      <c r="AN23" s="139">
        <f t="shared" si="10"/>
        <v>91.253661858974368</v>
      </c>
      <c r="AO23" s="139">
        <f t="shared" si="11"/>
        <v>91.597508341388561</v>
      </c>
      <c r="AP23" s="139">
        <f t="shared" si="12"/>
        <v>91.023015873015879</v>
      </c>
      <c r="AQ23" s="139">
        <f t="shared" si="13"/>
        <v>95.293207282913173</v>
      </c>
      <c r="AR23" s="139">
        <f t="shared" si="14"/>
        <v>39.069172613000831</v>
      </c>
      <c r="AS23" s="139">
        <f t="shared" si="15"/>
        <v>-9.3342800581771108</v>
      </c>
      <c r="AT23" s="139">
        <f>Table8[[#This Row],[UCM
Electric water heater
(€/MWh) ]]*'W.F. at Appliance Level'!X23</f>
        <v>91.253661858974368</v>
      </c>
      <c r="AU23" s="139">
        <f>Table8[[#This Row],[UCM
A/C
(€/MWh) ]]*'W.F. at Appliance Level'!Y23+Table8[[#This Row],[UCM
Other elecric appliances
(€/MWh) ]]*'W.F. at Appliance Level'!Z23+Table8[[#This Row],[UCM
heat pumps
(€/MWh) ]]*'W.F. at Appliance Level'!AA23+Table8[[#This Row],[UCM
Oil burner
(€/MWh)]]*'W.F. at Appliance Level'!AB23+Table8[[#This Row],[UCM
Pellet/Wood burner
(€/MWh) ]]*'W.F. at Appliance Level'!AC23</f>
        <v>54.156402044781359</v>
      </c>
      <c r="AV23" s="139">
        <f>Table8[[#This Row],[UCM for water heating
(€/MWh) ]]*'W.F. End-use Level'!Y24+Table8[[#This Row],[UCM for space heating
(€/MWh) ]]*'W.F. End-use Level'!Z24</f>
        <v>61.624228592544739</v>
      </c>
      <c r="AW23" s="167">
        <f>C23/'Utilisation by Sector'!$U$21</f>
        <v>2.7804927884615385</v>
      </c>
      <c r="AX23" s="167">
        <f>D23/'Utilisation by Sector'!$V$21</f>
        <v>3.9555150144993889</v>
      </c>
      <c r="AY23" s="167">
        <f>E23/'Utilisation by Sector'!$W$21</f>
        <v>2.4345238095238093</v>
      </c>
      <c r="AZ23" s="167">
        <f>F23/'Utilisation by Sector'!$X$21</f>
        <v>8.8398109243697469</v>
      </c>
      <c r="BA23" s="167">
        <f>G23/'Utilisation by Sector'!$Y$21</f>
        <v>0.44796944581703574</v>
      </c>
      <c r="BB23" s="167">
        <f>H23/'Utilisation by Sector'!$Z$21</f>
        <v>5.5485799127343247</v>
      </c>
      <c r="BC23" s="139">
        <f t="shared" si="16"/>
        <v>92.180492788461549</v>
      </c>
      <c r="BD23" s="139">
        <f t="shared" si="17"/>
        <v>93.355515014499389</v>
      </c>
      <c r="BE23" s="139">
        <f t="shared" si="18"/>
        <v>91.834523809523816</v>
      </c>
      <c r="BF23" s="139">
        <f t="shared" si="19"/>
        <v>98.239810924369749</v>
      </c>
      <c r="BG23" s="139">
        <f t="shared" si="20"/>
        <v>39.218495761606512</v>
      </c>
      <c r="BH23" s="139">
        <f t="shared" si="21"/>
        <v>-7.4847534205990032</v>
      </c>
      <c r="BI23" s="139">
        <f>Table8[[#This Row],[UCM Electric water heater
(€/MWh)]]*'W.F. at Appliance Level'!X23</f>
        <v>92.180492788461549</v>
      </c>
      <c r="BJ23" s="139">
        <f>Table8[[#This Row],[UCM
A/C
(€/MWh)  ]]*'W.F. at Appliance Level'!Y23+Table8[[#This Row],[UCM
Other elecric appliances
(€/MWh)  ]]*'W.F. at Appliance Level'!Z23+Table8[[#This Row],[UCM
heat pumps
(€/MWh)  ]]*'W.F. at Appliance Level'!AA23+Table8[[#This Row],[UCM
Oil burner
(€/MWh) ]]*'W.F. at Appliance Level'!AB23+Table8[[#This Row],[UCM
Pellet/Wood burner
(€/MWh)  ]]*'W.F. at Appliance Level'!AC23</f>
        <v>55.832267069969163</v>
      </c>
      <c r="BK23" s="139">
        <f>Table8[[#This Row],[UCM for water heating
(€/MWh)  ]]*'W.F. End-use Level'!AA24+Table8[[#This Row],[UCM for space heating
(€/MWh)  ]]*'W.F. End-use Level'!AB24</f>
        <v>63.149310063015307</v>
      </c>
      <c r="BL23" s="134">
        <f>Table8[[#This Row],[Total UCM
(€/MWh)]]*'W.F. at Subsector Level'!H23+Table8[[#This Row],[Total UCM
(€/MWh) ]]*'W.F. at Subsector Level'!I23+Table8[[#This Row],[Total UCM 
(€/MWh)]]*'W.F. at Subsector Level'!J23</f>
        <v>64.336494833016758</v>
      </c>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DQ23" s="164"/>
      <c r="DR23" s="164"/>
      <c r="DS23" s="164"/>
      <c r="DT23" s="164"/>
      <c r="DU23" s="164"/>
      <c r="DV23" s="164"/>
      <c r="DW23" s="164"/>
      <c r="DX23" s="164"/>
      <c r="DY23" s="164"/>
      <c r="DZ23" s="164"/>
      <c r="EA23" s="164"/>
      <c r="EB23" s="164"/>
      <c r="EC23" s="164"/>
      <c r="ED23" s="164"/>
      <c r="EE23" s="164"/>
      <c r="EF23" s="164"/>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row>
    <row r="24" spans="1:192" x14ac:dyDescent="0.3">
      <c r="A24" s="147" t="s">
        <v>22</v>
      </c>
      <c r="B24" s="166">
        <f>Table35[[#This Row],[Stove (€/MW)]]</f>
        <v>134611.0762800418</v>
      </c>
      <c r="C24" s="166">
        <f>Table35[[#This Row],[Electric Water heater (€/MW)]]</f>
        <v>61825</v>
      </c>
      <c r="D24" s="166">
        <f>Table35[[#This Row],[A/C (€/MW)]]</f>
        <v>119359.25429105756</v>
      </c>
      <c r="E24" s="166">
        <f>Table35[[#This Row],[Other electric appliances (€/MW)]]</f>
        <v>9909.0000000000018</v>
      </c>
      <c r="F24" s="166">
        <f>Table35[[#This Row],[Heat pumps (€/MW)]]</f>
        <v>364239.75495103037</v>
      </c>
      <c r="G24" s="166">
        <f>Table35[[#This Row],[Oil Burner (€/MW)]]</f>
        <v>16986.775912955374</v>
      </c>
      <c r="H24" s="166">
        <f>Table35[[#This Row],[Burner (Pellet, wood,…) (€/MW)]]</f>
        <v>117940.41478129714</v>
      </c>
      <c r="I24" s="166">
        <f>'Fuel Prices excl. VAT'!B23</f>
        <v>2.7699999999999999E-2</v>
      </c>
      <c r="J24" s="166">
        <f>'Fuel Prices excl. VAT'!D23</f>
        <v>8.8599999999999998E-2</v>
      </c>
      <c r="K24" s="166">
        <f>'Fuel Prices excl. VAT'!F23</f>
        <v>0.12857796876180244</v>
      </c>
      <c r="L24" s="166">
        <f>'Fuel Prices excl. VAT'!H23</f>
        <v>4.4999999999999998E-2</v>
      </c>
      <c r="M24" s="166">
        <f t="shared" si="0"/>
        <v>6.0899999999999996E-2</v>
      </c>
      <c r="N24" s="166">
        <f t="shared" si="1"/>
        <v>0.10087796876180244</v>
      </c>
      <c r="O24" s="166">
        <f t="shared" si="2"/>
        <v>1.7299999999999999E-2</v>
      </c>
      <c r="P24" s="166">
        <f>B24/'Utilisation by Sector'!$T$9</f>
        <v>4.6226331140124248</v>
      </c>
      <c r="Q24" s="166">
        <f>C24/'Utilisation by Sector'!$T$9</f>
        <v>2.1231112637362637</v>
      </c>
      <c r="R24" s="166">
        <f>D24/'Utilisation by Sector'!$V$9</f>
        <v>4.098875490764339</v>
      </c>
      <c r="S24" s="166">
        <f>E24/'Utilisation by Sector'!$W$9</f>
        <v>0.74347238895558232</v>
      </c>
      <c r="T24" s="166">
        <f>F24/'Utilisation by Sector'!$X$9</f>
        <v>12.753492820414229</v>
      </c>
      <c r="U24" s="166">
        <f>G24/'Utilisation by Sector'!$Y$9</f>
        <v>0.44608130023517262</v>
      </c>
      <c r="V24" s="166">
        <f>H24/'Utilisation by Sector'!$Z$9</f>
        <v>3.0971747579122146</v>
      </c>
      <c r="W24" s="138">
        <f t="shared" si="3"/>
        <v>65.522633114012422</v>
      </c>
      <c r="X24" s="138">
        <f t="shared" si="4"/>
        <v>63.023111263736261</v>
      </c>
      <c r="Y24" s="138">
        <f t="shared" si="5"/>
        <v>64.998875490764334</v>
      </c>
      <c r="Z24" s="138">
        <f t="shared" si="6"/>
        <v>61.64347238895558</v>
      </c>
      <c r="AA24" s="138">
        <f t="shared" si="7"/>
        <v>73.653492820414229</v>
      </c>
      <c r="AB24" s="138">
        <f t="shared" si="8"/>
        <v>101.32405006203761</v>
      </c>
      <c r="AC24" s="138">
        <f t="shared" si="9"/>
        <v>20.397174757912214</v>
      </c>
      <c r="AD24" s="138">
        <f>Table8[[#This Row],[UCM
Stove
(€/MWh)]]*'W.F. at Appliance Level'!P24</f>
        <v>65.522633114012422</v>
      </c>
      <c r="AE24" s="138">
        <f>Table8[[#This Row],[UCM
Electric water heater
(€/MWh)]]*'W.F. at Appliance Level'!Q24</f>
        <v>63.023111263736261</v>
      </c>
      <c r="AF24" s="138">
        <f>Table8[[#This Row],[UCM
A/C
(€/MWh)]]*'W.F. at Appliance Level'!R24+Table8[[#This Row],[UCM
Other elecric appliances
(€/MWh)]]*'W.F. at Appliance Level'!S24+Table8[[#This Row],[UCM
heat pumps
(€/MWh)]]*'W.F. at Appliance Level'!T24+Table8[[#This Row],[UCM
Oil burner 
(€/MWh)]]*'W.F. at Appliance Level'!U24+Table8[[#This Row],[UCM
Pellet/Wood burner
(€/MWh)]]*'W.F. at Appliance Level'!V24</f>
        <v>64.403413104016792</v>
      </c>
      <c r="AG24" s="138">
        <f>Table8[[#This Row],[UCM for cooking
(€/MWh)]]*'W.F. End-use Level'!V25+Table8[[#This Row],[UCM for water heating
(€/MWh)]]*'W.F. End-use Level'!W25+Table8[[#This Row],[UCM for space heating
(€/MWh)]]*'W.F. End-use Level'!X25</f>
        <v>64.323443938613877</v>
      </c>
      <c r="AH24" s="166">
        <f>C24/'Utilisation by Sector'!$U$15</f>
        <v>1.9815705128205128</v>
      </c>
      <c r="AI24" s="166">
        <f>D24/'Utilisation by Sector'!$V$15</f>
        <v>3.1880142705944858</v>
      </c>
      <c r="AJ24" s="166">
        <f>E24/'Utilisation by Sector'!$W$15</f>
        <v>0.69390756302521017</v>
      </c>
      <c r="AK24" s="166">
        <f>F24/'Utilisation by Sector'!$X$15</f>
        <v>11.903259965719947</v>
      </c>
      <c r="AL24" s="166">
        <f>G24/'Utilisation by Sector'!$Y$15</f>
        <v>0.41634254688616112</v>
      </c>
      <c r="AM24" s="166">
        <f>H24/'Utilisation by Sector'!$Z$15</f>
        <v>2.8906964407180671</v>
      </c>
      <c r="AN24" s="138">
        <f t="shared" si="10"/>
        <v>62.88157051282051</v>
      </c>
      <c r="AO24" s="138">
        <f t="shared" si="11"/>
        <v>64.088014270594485</v>
      </c>
      <c r="AP24" s="138">
        <f t="shared" si="12"/>
        <v>61.593907563025212</v>
      </c>
      <c r="AQ24" s="138">
        <f t="shared" si="13"/>
        <v>72.803259965719946</v>
      </c>
      <c r="AR24" s="138">
        <f t="shared" si="14"/>
        <v>101.29431130868859</v>
      </c>
      <c r="AS24" s="138">
        <f t="shared" si="15"/>
        <v>20.190696440718067</v>
      </c>
      <c r="AT24" s="138">
        <f>Table8[[#This Row],[UCM
Electric water heater
(€/MWh) ]]*'W.F. at Appliance Level'!X24</f>
        <v>62.88157051282051</v>
      </c>
      <c r="AU24" s="138">
        <f>Table8[[#This Row],[UCM
A/C
(€/MWh) ]]*'W.F. at Appliance Level'!Y24+Table8[[#This Row],[UCM
Other elecric appliances
(€/MWh) ]]*'W.F. at Appliance Level'!Z24+Table8[[#This Row],[UCM
heat pumps
(€/MWh) ]]*'W.F. at Appliance Level'!AA24+Table8[[#This Row],[UCM
Oil burner
(€/MWh)]]*'W.F. at Appliance Level'!AB24+Table8[[#This Row],[UCM
Pellet/Wood burner
(€/MWh) ]]*'W.F. at Appliance Level'!AC24</f>
        <v>64.594070496430263</v>
      </c>
      <c r="AV24" s="138">
        <f>Table8[[#This Row],[UCM for water heating
(€/MWh) ]]*'W.F. End-use Level'!Y25+Table8[[#This Row],[UCM for space heating
(€/MWh) ]]*'W.F. End-use Level'!Z25</f>
        <v>64.486823454394766</v>
      </c>
      <c r="AW24" s="166">
        <f>C24/'Utilisation by Sector'!$U$21</f>
        <v>2.9723557692307692</v>
      </c>
      <c r="AX24" s="166">
        <f>D24/'Utilisation by Sector'!$V$21</f>
        <v>5.7384256870700749</v>
      </c>
      <c r="AY24" s="166">
        <f>E24/'Utilisation by Sector'!$W$21</f>
        <v>1.0408613445378154</v>
      </c>
      <c r="AZ24" s="166">
        <f>F24/'Utilisation by Sector'!$X$21</f>
        <v>17.85488994857992</v>
      </c>
      <c r="BA24" s="166">
        <f>G24/'Utilisation by Sector'!$Y$21</f>
        <v>0.62451382032924174</v>
      </c>
      <c r="BB24" s="166">
        <f>H24/'Utilisation by Sector'!$Z$21</f>
        <v>4.3360446610771008</v>
      </c>
      <c r="BC24" s="138">
        <f t="shared" si="16"/>
        <v>63.872355769230765</v>
      </c>
      <c r="BD24" s="138">
        <f t="shared" si="17"/>
        <v>66.638425687070068</v>
      </c>
      <c r="BE24" s="138">
        <f t="shared" si="18"/>
        <v>61.940861344537815</v>
      </c>
      <c r="BF24" s="138">
        <f t="shared" si="19"/>
        <v>78.754889948579915</v>
      </c>
      <c r="BG24" s="138">
        <f t="shared" si="20"/>
        <v>101.50248258213168</v>
      </c>
      <c r="BH24" s="138">
        <f t="shared" si="21"/>
        <v>21.636044661077101</v>
      </c>
      <c r="BI24" s="138">
        <f>Table8[[#This Row],[UCM Electric water heater
(€/MWh)]]*'W.F. at Appliance Level'!X24</f>
        <v>63.872355769230765</v>
      </c>
      <c r="BJ24" s="138">
        <f>Table8[[#This Row],[UCM
A/C
(€/MWh)  ]]*'W.F. at Appliance Level'!Y24+Table8[[#This Row],[UCM
Other elecric appliances
(€/MWh)  ]]*'W.F. at Appliance Level'!Z24+Table8[[#This Row],[UCM
heat pumps
(€/MWh)  ]]*'W.F. at Appliance Level'!AA24+Table8[[#This Row],[UCM
Oil burner
(€/MWh) ]]*'W.F. at Appliance Level'!AB24+Table8[[#This Row],[UCM
Pellet/Wood burner
(€/MWh)  ]]*'W.F. at Appliance Level'!AC24</f>
        <v>67.132960719714688</v>
      </c>
      <c r="BK24" s="138">
        <f>Table8[[#This Row],[UCM for water heating
(€/MWh)  ]]*'W.F. End-use Level'!AA25+Table8[[#This Row],[UCM for space heating
(€/MWh)  ]]*'W.F. End-use Level'!AB25</f>
        <v>66.928762039695684</v>
      </c>
      <c r="BL24" s="133">
        <f>Table8[[#This Row],[Total UCM
(€/MWh)]]*'W.F. at Subsector Level'!H24+Table8[[#This Row],[Total UCM
(€/MWh) ]]*'W.F. at Subsector Level'!I24+Table8[[#This Row],[Total UCM 
(€/MWh)]]*'W.F. at Subsector Level'!J24</f>
        <v>65.246343144234785</v>
      </c>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c r="CW24" s="164"/>
      <c r="CX24" s="164"/>
      <c r="CY24" s="164"/>
      <c r="CZ24" s="164"/>
      <c r="DA24" s="164"/>
      <c r="DB24" s="164"/>
      <c r="DC24" s="164"/>
      <c r="DD24" s="164"/>
      <c r="DE24" s="164"/>
      <c r="DF24" s="164"/>
      <c r="DG24" s="164"/>
      <c r="DH24" s="164"/>
      <c r="DI24" s="164"/>
      <c r="DJ24" s="164"/>
      <c r="DK24" s="164"/>
      <c r="DL24" s="164"/>
      <c r="DM24" s="164"/>
      <c r="DN24" s="164"/>
      <c r="DO24" s="164"/>
      <c r="DP24" s="164"/>
      <c r="DQ24" s="164"/>
      <c r="DR24" s="164"/>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row>
    <row r="25" spans="1:192" x14ac:dyDescent="0.3">
      <c r="A25" s="147" t="s">
        <v>23</v>
      </c>
      <c r="B25" s="167">
        <f>Table35[[#This Row],[Stove (€/MW)]]</f>
        <v>212382.96136834181</v>
      </c>
      <c r="C25" s="167">
        <f>Table35[[#This Row],[Electric Water heater (€/MW)]]</f>
        <v>95980.0625</v>
      </c>
      <c r="D25" s="167">
        <f>Table35[[#This Row],[A/C (€/MW)]]</f>
        <v>170598.16111381984</v>
      </c>
      <c r="E25" s="167">
        <f>Table35[[#This Row],[Other electric appliances (€/MW)]]</f>
        <v>6659.7</v>
      </c>
      <c r="F25" s="167">
        <f>Table35[[#This Row],[Heat pumps (€/MW)]]</f>
        <v>364239.75495103037</v>
      </c>
      <c r="G25" s="167">
        <f>Table35[[#This Row],[Oil Burner (€/MW)]]</f>
        <v>18890.875</v>
      </c>
      <c r="H25" s="167">
        <f>Table35[[#This Row],[Burner (Pellet, wood,…) (€/MW)]]</f>
        <v>159767.27929984778</v>
      </c>
      <c r="I25" s="167">
        <f>'Fuel Prices excl. VAT'!B24</f>
        <v>6.3100000000000003E-2</v>
      </c>
      <c r="J25" s="167">
        <f>'Fuel Prices excl. VAT'!D24</f>
        <v>0.12909999999999999</v>
      </c>
      <c r="K25" s="167">
        <f>'Fuel Prices excl. VAT'!F24</f>
        <v>0.11294736842105263</v>
      </c>
      <c r="L25" s="167">
        <f>'Fuel Prices excl. VAT'!H24</f>
        <v>4.4999999999999998E-2</v>
      </c>
      <c r="M25" s="167">
        <f t="shared" si="0"/>
        <v>6.5999999999999989E-2</v>
      </c>
      <c r="N25" s="167">
        <f t="shared" si="1"/>
        <v>4.9847368421052626E-2</v>
      </c>
      <c r="O25" s="167">
        <f t="shared" si="2"/>
        <v>-1.8100000000000005E-2</v>
      </c>
      <c r="P25" s="167">
        <f>B25/'Utilisation by Sector'!$T$9</f>
        <v>7.2933709261106392</v>
      </c>
      <c r="Q25" s="167">
        <f>C25/'Utilisation by Sector'!$T$9</f>
        <v>3.2960186298076923</v>
      </c>
      <c r="R25" s="167">
        <f>D25/'Utilisation by Sector'!$V$9</f>
        <v>5.8584533349526042</v>
      </c>
      <c r="S25" s="167">
        <f>E25/'Utilisation by Sector'!$W$9</f>
        <v>0.49967737094837933</v>
      </c>
      <c r="T25" s="167">
        <f>F25/'Utilisation by Sector'!$X$9</f>
        <v>12.753492820414229</v>
      </c>
      <c r="U25" s="167">
        <f>G25/'Utilisation by Sector'!$Y$9</f>
        <v>0.49608390231092436</v>
      </c>
      <c r="V25" s="167">
        <f>H25/'Utilisation by Sector'!$Z$9</f>
        <v>4.1955693093447426</v>
      </c>
      <c r="W25" s="139">
        <f t="shared" si="3"/>
        <v>73.293370926110626</v>
      </c>
      <c r="X25" s="139">
        <f t="shared" si="4"/>
        <v>69.296018629807676</v>
      </c>
      <c r="Y25" s="139">
        <f t="shared" si="5"/>
        <v>71.858453334952586</v>
      </c>
      <c r="Z25" s="139">
        <f t="shared" si="6"/>
        <v>66.499677370948362</v>
      </c>
      <c r="AA25" s="139">
        <f t="shared" si="7"/>
        <v>78.753492820414209</v>
      </c>
      <c r="AB25" s="139">
        <f t="shared" si="8"/>
        <v>50.34345232336355</v>
      </c>
      <c r="AC25" s="139">
        <f t="shared" si="9"/>
        <v>-13.904430690655262</v>
      </c>
      <c r="AD25" s="139">
        <f>Table8[[#This Row],[UCM
Stove
(€/MWh)]]*'W.F. at Appliance Level'!P25</f>
        <v>73.293370926110626</v>
      </c>
      <c r="AE25" s="139">
        <f>Table8[[#This Row],[UCM
Electric water heater
(€/MWh)]]*'W.F. at Appliance Level'!Q25</f>
        <v>69.296018629807676</v>
      </c>
      <c r="AF25" s="139">
        <f>Table8[[#This Row],[UCM
A/C
(€/MWh)]]*'W.F. at Appliance Level'!R25+Table8[[#This Row],[UCM
Other elecric appliances
(€/MWh)]]*'W.F. at Appliance Level'!S25+Table8[[#This Row],[UCM
heat pumps
(€/MWh)]]*'W.F. at Appliance Level'!T25+Table8[[#This Row],[UCM
Oil burner 
(€/MWh)]]*'W.F. at Appliance Level'!U25+Table8[[#This Row],[UCM
Pellet/Wood burner
(€/MWh)]]*'W.F. at Appliance Level'!V25</f>
        <v>50.710129031804698</v>
      </c>
      <c r="AG25" s="139">
        <f>Table8[[#This Row],[UCM for cooking
(€/MWh)]]*'W.F. End-use Level'!V26+Table8[[#This Row],[UCM for water heating
(€/MWh)]]*'W.F. End-use Level'!W26+Table8[[#This Row],[UCM for space heating
(€/MWh)]]*'W.F. End-use Level'!X26</f>
        <v>52.924236715983682</v>
      </c>
      <c r="AH25" s="167">
        <f>C25/'Utilisation by Sector'!$U$15</f>
        <v>3.0762840544871795</v>
      </c>
      <c r="AI25" s="167">
        <f>D25/'Utilisation by Sector'!$V$15</f>
        <v>4.5565748160742476</v>
      </c>
      <c r="AJ25" s="167">
        <f>E25/'Utilisation by Sector'!$W$15</f>
        <v>0.46636554621848736</v>
      </c>
      <c r="AK25" s="167">
        <f>F25/'Utilisation by Sector'!$X$15</f>
        <v>11.903259965719947</v>
      </c>
      <c r="AL25" s="167">
        <f>G25/'Utilisation by Sector'!$Y$15</f>
        <v>0.46301164215686275</v>
      </c>
      <c r="AM25" s="167">
        <f>H25/'Utilisation by Sector'!$Z$15</f>
        <v>3.9158646887217592</v>
      </c>
      <c r="AN25" s="139">
        <f t="shared" si="10"/>
        <v>69.076284054487161</v>
      </c>
      <c r="AO25" s="139">
        <f t="shared" si="11"/>
        <v>70.556574816074232</v>
      </c>
      <c r="AP25" s="139">
        <f t="shared" si="12"/>
        <v>66.466365546218469</v>
      </c>
      <c r="AQ25" s="139">
        <f t="shared" si="13"/>
        <v>77.90325996571994</v>
      </c>
      <c r="AR25" s="139">
        <f t="shared" si="14"/>
        <v>50.310380063209493</v>
      </c>
      <c r="AS25" s="139">
        <f t="shared" si="15"/>
        <v>-14.184135311278245</v>
      </c>
      <c r="AT25" s="139">
        <f>Table8[[#This Row],[UCM
Electric water heater
(€/MWh) ]]*'W.F. at Appliance Level'!X25</f>
        <v>69.076284054487161</v>
      </c>
      <c r="AU25" s="139">
        <f>Table8[[#This Row],[UCM
A/C
(€/MWh) ]]*'W.F. at Appliance Level'!Y25+Table8[[#This Row],[UCM
Other elecric appliances
(€/MWh) ]]*'W.F. at Appliance Level'!Z25+Table8[[#This Row],[UCM
heat pumps
(€/MWh) ]]*'W.F. at Appliance Level'!AA25+Table8[[#This Row],[UCM
Oil burner
(€/MWh)]]*'W.F. at Appliance Level'!AB25+Table8[[#This Row],[UCM
Pellet/Wood burner
(€/MWh) ]]*'W.F. at Appliance Level'!AC25</f>
        <v>46.146519883431353</v>
      </c>
      <c r="AV25" s="139">
        <f>Table8[[#This Row],[UCM for water heating
(€/MWh) ]]*'W.F. End-use Level'!Y26+Table8[[#This Row],[UCM for space heating
(€/MWh) ]]*'W.F. End-use Level'!Z26</f>
        <v>48.194038137577735</v>
      </c>
      <c r="AW25" s="167">
        <f>C25/'Utilisation by Sector'!$U$21</f>
        <v>4.6144260817307696</v>
      </c>
      <c r="AX25" s="167">
        <f>D25/'Utilisation by Sector'!$V$21</f>
        <v>8.2018346689336461</v>
      </c>
      <c r="AY25" s="167">
        <f>E25/'Utilisation by Sector'!$W$21</f>
        <v>0.69954831932773109</v>
      </c>
      <c r="AZ25" s="167">
        <f>F25/'Utilisation by Sector'!$X$21</f>
        <v>17.85488994857992</v>
      </c>
      <c r="BA25" s="167">
        <f>G25/'Utilisation by Sector'!$Y$21</f>
        <v>0.69451746323529406</v>
      </c>
      <c r="BB25" s="167">
        <f>H25/'Utilisation by Sector'!$Z$21</f>
        <v>5.8737970330826395</v>
      </c>
      <c r="BC25" s="139">
        <f t="shared" si="16"/>
        <v>70.614426081730755</v>
      </c>
      <c r="BD25" s="139">
        <f t="shared" si="17"/>
        <v>74.201834668933628</v>
      </c>
      <c r="BE25" s="139">
        <f t="shared" si="18"/>
        <v>66.699548319327718</v>
      </c>
      <c r="BF25" s="139">
        <f t="shared" si="19"/>
        <v>83.85488994857991</v>
      </c>
      <c r="BG25" s="139">
        <f t="shared" si="20"/>
        <v>50.541885884287922</v>
      </c>
      <c r="BH25" s="139">
        <f t="shared" si="21"/>
        <v>-12.226202966917366</v>
      </c>
      <c r="BI25" s="139">
        <f>Table8[[#This Row],[UCM Electric water heater
(€/MWh)]]*'W.F. at Appliance Level'!X25</f>
        <v>70.614426081730755</v>
      </c>
      <c r="BJ25" s="139">
        <f>Table8[[#This Row],[UCM
A/C
(€/MWh)  ]]*'W.F. at Appliance Level'!Y25+Table8[[#This Row],[UCM
Other elecric appliances
(€/MWh)  ]]*'W.F. at Appliance Level'!Z25+Table8[[#This Row],[UCM
heat pumps
(€/MWh)  ]]*'W.F. at Appliance Level'!AA25+Table8[[#This Row],[UCM
Oil burner
(€/MWh) ]]*'W.F. at Appliance Level'!AB25+Table8[[#This Row],[UCM
Pellet/Wood burner
(€/MWh)  ]]*'W.F. at Appliance Level'!AC25</f>
        <v>49.093101883721026</v>
      </c>
      <c r="BK25" s="139">
        <f>Table8[[#This Row],[UCM for water heating
(€/MWh)  ]]*'W.F. End-use Level'!AA26+Table8[[#This Row],[UCM for space heating
(€/MWh)  ]]*'W.F. End-use Level'!AB26</f>
        <v>51.014853185657685</v>
      </c>
      <c r="BL25" s="134">
        <f>Table8[[#This Row],[Total UCM
(€/MWh)]]*'W.F. at Subsector Level'!H25+Table8[[#This Row],[Total UCM
(€/MWh) ]]*'W.F. at Subsector Level'!I25+Table8[[#This Row],[Total UCM 
(€/MWh)]]*'W.F. at Subsector Level'!J25</f>
        <v>50.711042679739705</v>
      </c>
    </row>
    <row r="26" spans="1:192" x14ac:dyDescent="0.3">
      <c r="A26" s="147" t="s">
        <v>24</v>
      </c>
      <c r="B26" s="166">
        <f>Table35[[#This Row],[Stove (€/MW)]]</f>
        <v>253663.06116932252</v>
      </c>
      <c r="C26" s="166">
        <f>Table35[[#This Row],[Electric Water heater (€/MW)]]</f>
        <v>139846.45833333331</v>
      </c>
      <c r="D26" s="166">
        <f>Table35[[#This Row],[A/C (€/MW)]]</f>
        <v>175593.64542879278</v>
      </c>
      <c r="E26" s="166">
        <f>Table35[[#This Row],[Other electric appliances (€/MW)]]</f>
        <v>11613.15</v>
      </c>
      <c r="F26" s="166">
        <f>Table35[[#This Row],[Heat pumps (€/MW)]]</f>
        <v>364239.75495103037</v>
      </c>
      <c r="G26" s="166">
        <f>Table35[[#This Row],[Oil Burner (€/MW)]]</f>
        <v>36343.079494316153</v>
      </c>
      <c r="H26" s="166">
        <f>Table35[[#This Row],[Burner (Pellet, wood,…) (€/MW)]]</f>
        <v>105171.75608498839</v>
      </c>
      <c r="I26" s="166">
        <f>'Fuel Prices excl. VAT'!B25</f>
        <v>4.2999999999999997E-2</v>
      </c>
      <c r="J26" s="166">
        <f>'Fuel Prices excl. VAT'!D25</f>
        <v>0.23449999999999999</v>
      </c>
      <c r="K26" s="166">
        <f>'Fuel Prices excl. VAT'!F25</f>
        <v>6.9484210526315787E-2</v>
      </c>
      <c r="L26" s="166">
        <f>'Fuel Prices excl. VAT'!H25</f>
        <v>4.8562500000000001E-2</v>
      </c>
      <c r="M26" s="166">
        <f t="shared" si="0"/>
        <v>0.1915</v>
      </c>
      <c r="N26" s="166">
        <f t="shared" si="1"/>
        <v>2.6484210526315791E-2</v>
      </c>
      <c r="O26" s="166">
        <f t="shared" si="2"/>
        <v>5.5625000000000049E-3</v>
      </c>
      <c r="P26" s="166">
        <f>B26/'Utilisation by Sector'!$T$9</f>
        <v>8.7109567709245379</v>
      </c>
      <c r="Q26" s="166">
        <f>C26/'Utilisation by Sector'!$T$9</f>
        <v>4.8024195856227099</v>
      </c>
      <c r="R26" s="166">
        <f>D26/'Utilisation by Sector'!$V$9</f>
        <v>6.0300015600546972</v>
      </c>
      <c r="S26" s="166">
        <f>E26/'Utilisation by Sector'!$W$9</f>
        <v>0.87133478391356545</v>
      </c>
      <c r="T26" s="166">
        <f>F26/'Utilisation by Sector'!$X$9</f>
        <v>12.753492820414229</v>
      </c>
      <c r="U26" s="166">
        <f>G26/'Utilisation by Sector'!$Y$9</f>
        <v>0.95438759176250398</v>
      </c>
      <c r="V26" s="166">
        <f>H26/'Utilisation by Sector'!$Z$9</f>
        <v>2.7618633425679722</v>
      </c>
      <c r="W26" s="138">
        <f t="shared" si="3"/>
        <v>200.21095677092453</v>
      </c>
      <c r="X26" s="138">
        <f t="shared" si="4"/>
        <v>196.30241958562272</v>
      </c>
      <c r="Y26" s="138">
        <f t="shared" si="5"/>
        <v>197.5300015600547</v>
      </c>
      <c r="Z26" s="138">
        <f t="shared" si="6"/>
        <v>192.37133478391357</v>
      </c>
      <c r="AA26" s="138">
        <f t="shared" si="7"/>
        <v>204.25349282041424</v>
      </c>
      <c r="AB26" s="138">
        <f t="shared" si="8"/>
        <v>27.438598118078296</v>
      </c>
      <c r="AC26" s="138">
        <f t="shared" si="9"/>
        <v>8.3243633425679775</v>
      </c>
      <c r="AD26" s="138">
        <f>Table8[[#This Row],[UCM
Stove
(€/MWh)]]*'W.F. at Appliance Level'!P26</f>
        <v>200.21095677092453</v>
      </c>
      <c r="AE26" s="138">
        <f>Table8[[#This Row],[UCM
Electric water heater
(€/MWh)]]*'W.F. at Appliance Level'!Q26</f>
        <v>196.30241958562272</v>
      </c>
      <c r="AF26" s="138">
        <f>Table8[[#This Row],[UCM
A/C
(€/MWh)]]*'W.F. at Appliance Level'!R26+Table8[[#This Row],[UCM
Other elecric appliances
(€/MWh)]]*'W.F. at Appliance Level'!S26+Table8[[#This Row],[UCM
heat pumps
(€/MWh)]]*'W.F. at Appliance Level'!T26+Table8[[#This Row],[UCM
Oil burner 
(€/MWh)]]*'W.F. at Appliance Level'!U26+Table8[[#This Row],[UCM
Pellet/Wood burner
(€/MWh)]]*'W.F. at Appliance Level'!V26</f>
        <v>125.98355812500576</v>
      </c>
      <c r="AG26" s="138">
        <f>Table8[[#This Row],[UCM for cooking
(€/MWh)]]*'W.F. End-use Level'!V27+Table8[[#This Row],[UCM for water heating
(€/MWh)]]*'W.F. End-use Level'!W27+Table8[[#This Row],[UCM for space heating
(€/MWh)]]*'W.F. End-use Level'!X27</f>
        <v>136.49897550597126</v>
      </c>
      <c r="AH26" s="166">
        <f>C26/'Utilisation by Sector'!$U$15</f>
        <v>4.4822582799145296</v>
      </c>
      <c r="AI26" s="166">
        <f>D26/'Utilisation by Sector'!$V$15</f>
        <v>4.6900012133758757</v>
      </c>
      <c r="AJ26" s="166">
        <f>E26/'Utilisation by Sector'!$W$15</f>
        <v>0.81324579831932775</v>
      </c>
      <c r="AK26" s="166">
        <f>F26/'Utilisation by Sector'!$X$15</f>
        <v>11.903259965719947</v>
      </c>
      <c r="AL26" s="166">
        <f>G26/'Utilisation by Sector'!$Y$15</f>
        <v>0.89076175231167043</v>
      </c>
      <c r="AM26" s="166">
        <f>H26/'Utilisation by Sector'!$Z$15</f>
        <v>2.5777391197301074</v>
      </c>
      <c r="AN26" s="138">
        <f t="shared" si="10"/>
        <v>195.98225827991453</v>
      </c>
      <c r="AO26" s="138">
        <f t="shared" si="11"/>
        <v>196.19000121337587</v>
      </c>
      <c r="AP26" s="138">
        <f t="shared" si="12"/>
        <v>192.31324579831931</v>
      </c>
      <c r="AQ26" s="138">
        <f t="shared" si="13"/>
        <v>203.40325996571994</v>
      </c>
      <c r="AR26" s="138">
        <f t="shared" si="14"/>
        <v>27.374972278627464</v>
      </c>
      <c r="AS26" s="138">
        <f t="shared" si="15"/>
        <v>8.1402391197301132</v>
      </c>
      <c r="AT26" s="138">
        <f>Table8[[#This Row],[UCM
Electric water heater
(€/MWh) ]]*'W.F. at Appliance Level'!X26</f>
        <v>195.98225827991453</v>
      </c>
      <c r="AU26" s="138">
        <f>Table8[[#This Row],[UCM
A/C
(€/MWh) ]]*'W.F. at Appliance Level'!Y26+Table8[[#This Row],[UCM
Other elecric appliances
(€/MWh) ]]*'W.F. at Appliance Level'!Z26+Table8[[#This Row],[UCM
heat pumps
(€/MWh) ]]*'W.F. at Appliance Level'!AA26+Table8[[#This Row],[UCM
Oil burner
(€/MWh)]]*'W.F. at Appliance Level'!AB26+Table8[[#This Row],[UCM
Pellet/Wood burner
(€/MWh) ]]*'W.F. at Appliance Level'!AC26</f>
        <v>108.77711814436334</v>
      </c>
      <c r="AV26" s="138">
        <f>Table8[[#This Row],[UCM for water heating
(€/MWh) ]]*'W.F. End-use Level'!Y27+Table8[[#This Row],[UCM for space heating
(€/MWh) ]]*'W.F. End-use Level'!Z27</f>
        <v>120.77136788702268</v>
      </c>
      <c r="AW26" s="166">
        <f>C26/'Utilisation by Sector'!$U$21</f>
        <v>6.723387419871794</v>
      </c>
      <c r="AX26" s="166">
        <f>D26/'Utilisation by Sector'!$V$21</f>
        <v>8.4420021840765767</v>
      </c>
      <c r="AY26" s="166">
        <f>E26/'Utilisation by Sector'!$W$21</f>
        <v>1.2198686974789916</v>
      </c>
      <c r="AZ26" s="166">
        <f>F26/'Utilisation by Sector'!$X$21</f>
        <v>17.85488994857992</v>
      </c>
      <c r="BA26" s="166">
        <f>G26/'Utilisation by Sector'!$Y$21</f>
        <v>1.3361426284675055</v>
      </c>
      <c r="BB26" s="166">
        <f>H26/'Utilisation by Sector'!$Z$21</f>
        <v>3.8666086795951613</v>
      </c>
      <c r="BC26" s="138">
        <f t="shared" si="16"/>
        <v>198.22338741987178</v>
      </c>
      <c r="BD26" s="138">
        <f t="shared" si="17"/>
        <v>199.94200218407659</v>
      </c>
      <c r="BE26" s="138">
        <f t="shared" si="18"/>
        <v>192.719868697479</v>
      </c>
      <c r="BF26" s="138">
        <f t="shared" si="19"/>
        <v>209.35488994857991</v>
      </c>
      <c r="BG26" s="138">
        <f t="shared" si="20"/>
        <v>27.820353154783298</v>
      </c>
      <c r="BH26" s="138">
        <f t="shared" si="21"/>
        <v>9.4291086795951671</v>
      </c>
      <c r="BI26" s="138">
        <f>Table8[[#This Row],[UCM Electric water heater
(€/MWh)]]*'W.F. at Appliance Level'!X26</f>
        <v>198.22338741987178</v>
      </c>
      <c r="BJ26" s="138">
        <f>Table8[[#This Row],[UCM
A/C
(€/MWh)  ]]*'W.F. at Appliance Level'!Y26+Table8[[#This Row],[UCM
Other elecric appliances
(€/MWh)  ]]*'W.F. at Appliance Level'!Z26+Table8[[#This Row],[UCM
heat pumps
(€/MWh)  ]]*'W.F. at Appliance Level'!AA26+Table8[[#This Row],[UCM
Oil burner
(€/MWh) ]]*'W.F. at Appliance Level'!AB26+Table8[[#This Row],[UCM
Pellet/Wood burner
(€/MWh)  ]]*'W.F. at Appliance Level'!AC26</f>
        <v>111.63658849175873</v>
      </c>
      <c r="BK26" s="138">
        <f>Table8[[#This Row],[UCM for water heating
(€/MWh)  ]]*'W.F. End-use Level'!AA27+Table8[[#This Row],[UCM for space heating
(€/MWh)  ]]*'W.F. End-use Level'!AB27</f>
        <v>123.5457911964033</v>
      </c>
      <c r="BL26" s="133">
        <f>Table8[[#This Row],[Total UCM
(€/MWh)]]*'W.F. at Subsector Level'!H26+Table8[[#This Row],[Total UCM
(€/MWh) ]]*'W.F. at Subsector Level'!I26+Table8[[#This Row],[Total UCM 
(€/MWh)]]*'W.F. at Subsector Level'!J26</f>
        <v>126.93871152979909</v>
      </c>
    </row>
    <row r="27" spans="1:192" x14ac:dyDescent="0.3">
      <c r="A27" s="147" t="s">
        <v>25</v>
      </c>
      <c r="B27" s="167">
        <f>Table35[[#This Row],[Stove (€/MW)]]</f>
        <v>168115.18207282899</v>
      </c>
      <c r="C27" s="167">
        <f>Table35[[#This Row],[Electric Water heater (€/MW)]]</f>
        <v>40340.78787878788</v>
      </c>
      <c r="D27" s="167">
        <f>Table35[[#This Row],[A/C (€/MW)]]</f>
        <v>201485.12989174071</v>
      </c>
      <c r="E27" s="167">
        <f>Table35[[#This Row],[Other electric appliances (€/MW)]]</f>
        <v>20240.3</v>
      </c>
      <c r="F27" s="167">
        <f>Table35[[#This Row],[Heat pumps (€/MW)]]</f>
        <v>223463.73181818181</v>
      </c>
      <c r="G27" s="167">
        <f>Table35[[#This Row],[Oil Burner (€/MW)]]</f>
        <v>54505.378739316242</v>
      </c>
      <c r="H27" s="167">
        <f>Table35[[#This Row],[Burner (Pellet, wood,…) (€/MW)]]</f>
        <v>167377.81713939452</v>
      </c>
      <c r="I27" s="167">
        <f>'Fuel Prices excl. VAT'!B26</f>
        <v>4.4699999999999997E-2</v>
      </c>
      <c r="J27" s="167">
        <f>'Fuel Prices excl. VAT'!D26</f>
        <v>0.1681</v>
      </c>
      <c r="K27" s="167">
        <f>'Fuel Prices excl. VAT'!F26</f>
        <v>6.9070869533998713E-2</v>
      </c>
      <c r="L27" s="167">
        <f>'Fuel Prices excl. VAT'!H26</f>
        <v>4.718E-2</v>
      </c>
      <c r="M27" s="167">
        <f t="shared" si="0"/>
        <v>0.12340000000000001</v>
      </c>
      <c r="N27" s="167">
        <f t="shared" si="1"/>
        <v>2.4370869533998717E-2</v>
      </c>
      <c r="O27" s="167">
        <f t="shared" si="2"/>
        <v>2.480000000000003E-3</v>
      </c>
      <c r="P27" s="167">
        <f>B27/'Utilisation by Sector'!$T$9</f>
        <v>5.7731861975559404</v>
      </c>
      <c r="Q27" s="167">
        <f>C27/'Utilisation by Sector'!$T$9</f>
        <v>1.3853292540792541</v>
      </c>
      <c r="R27" s="167">
        <f>D27/'Utilisation by Sector'!$V$9</f>
        <v>6.9191322078207662</v>
      </c>
      <c r="S27" s="167">
        <f>E27/'Utilisation by Sector'!$W$9</f>
        <v>1.5186299519807922</v>
      </c>
      <c r="T27" s="167">
        <f>F27/'Utilisation by Sector'!$X$9</f>
        <v>7.8243603577794749</v>
      </c>
      <c r="U27" s="167">
        <f>G27/'Utilisation by Sector'!$Y$9</f>
        <v>1.4313387273980105</v>
      </c>
      <c r="V27" s="167">
        <f>H27/'Utilisation by Sector'!$Z$9</f>
        <v>4.3954258702572089</v>
      </c>
      <c r="W27" s="139">
        <f t="shared" si="3"/>
        <v>129.17318619755594</v>
      </c>
      <c r="X27" s="139">
        <f t="shared" si="4"/>
        <v>124.78532925407926</v>
      </c>
      <c r="Y27" s="139">
        <f t="shared" si="5"/>
        <v>130.31913220782076</v>
      </c>
      <c r="Z27" s="139">
        <f t="shared" si="6"/>
        <v>124.9186299519808</v>
      </c>
      <c r="AA27" s="139">
        <f t="shared" si="7"/>
        <v>131.22436035777949</v>
      </c>
      <c r="AB27" s="139">
        <f t="shared" si="8"/>
        <v>25.802208261396729</v>
      </c>
      <c r="AC27" s="139">
        <f t="shared" si="9"/>
        <v>6.875425870257212</v>
      </c>
      <c r="AD27" s="139">
        <f>Table8[[#This Row],[UCM
Stove
(€/MWh)]]*'W.F. at Appliance Level'!P27</f>
        <v>129.17318619755594</v>
      </c>
      <c r="AE27" s="139">
        <f>Table8[[#This Row],[UCM
Electric water heater
(€/MWh)]]*'W.F. at Appliance Level'!Q27</f>
        <v>124.78532925407926</v>
      </c>
      <c r="AF27" s="139">
        <f>Table8[[#This Row],[UCM
A/C
(€/MWh)]]*'W.F. at Appliance Level'!R27+Table8[[#This Row],[UCM
Other elecric appliances
(€/MWh)]]*'W.F. at Appliance Level'!S27+Table8[[#This Row],[UCM
heat pumps
(€/MWh)]]*'W.F. at Appliance Level'!T27+Table8[[#This Row],[UCM
Oil burner 
(€/MWh)]]*'W.F. at Appliance Level'!U27+Table8[[#This Row],[UCM
Pellet/Wood burner
(€/MWh)]]*'W.F. at Appliance Level'!V27</f>
        <v>83.827951329847011</v>
      </c>
      <c r="AG27" s="139">
        <f>Table8[[#This Row],[UCM for cooking
(€/MWh)]]*'W.F. End-use Level'!V28+Table8[[#This Row],[UCM for water heating
(€/MWh)]]*'W.F. End-use Level'!W28+Table8[[#This Row],[UCM for space heating
(€/MWh)]]*'W.F. End-use Level'!X28</f>
        <v>106.29418305088782</v>
      </c>
      <c r="AH27" s="167">
        <f>C27/'Utilisation by Sector'!$U$15</f>
        <v>1.2929739704739704</v>
      </c>
      <c r="AI27" s="167">
        <f>D27/'Utilisation by Sector'!$V$15</f>
        <v>5.3815472727494846</v>
      </c>
      <c r="AJ27" s="167">
        <f>E27/'Utilisation by Sector'!$W$15</f>
        <v>1.4173879551820727</v>
      </c>
      <c r="AK27" s="167">
        <f>F27/'Utilisation by Sector'!$X$15</f>
        <v>7.30273633392751</v>
      </c>
      <c r="AL27" s="167">
        <f>G27/'Utilisation by Sector'!$Y$15</f>
        <v>1.3359161455714765</v>
      </c>
      <c r="AM27" s="167">
        <f>H27/'Utilisation by Sector'!$Z$15</f>
        <v>4.1023974789067283</v>
      </c>
      <c r="AN27" s="139">
        <f t="shared" si="10"/>
        <v>124.69297397047397</v>
      </c>
      <c r="AO27" s="139">
        <f t="shared" si="11"/>
        <v>128.78154727274949</v>
      </c>
      <c r="AP27" s="139">
        <f t="shared" si="12"/>
        <v>124.81738795518208</v>
      </c>
      <c r="AQ27" s="139">
        <f t="shared" si="13"/>
        <v>130.7027363339275</v>
      </c>
      <c r="AR27" s="139">
        <f t="shared" si="14"/>
        <v>25.706785679570196</v>
      </c>
      <c r="AS27" s="139">
        <f t="shared" si="15"/>
        <v>6.5823974789067314</v>
      </c>
      <c r="AT27" s="139">
        <f>Table8[[#This Row],[UCM
Electric water heater
(€/MWh) ]]*'W.F. at Appliance Level'!X27</f>
        <v>124.69297397047397</v>
      </c>
      <c r="AU27" s="139">
        <f>Table8[[#This Row],[UCM
A/C
(€/MWh) ]]*'W.F. at Appliance Level'!Y27+Table8[[#This Row],[UCM
Other elecric appliances
(€/MWh) ]]*'W.F. at Appliance Level'!Z27+Table8[[#This Row],[UCM
heat pumps
(€/MWh) ]]*'W.F. at Appliance Level'!AA27+Table8[[#This Row],[UCM
Oil burner
(€/MWh)]]*'W.F. at Appliance Level'!AB27+Table8[[#This Row],[UCM
Pellet/Wood burner
(€/MWh) ]]*'W.F. at Appliance Level'!AC27</f>
        <v>72.943366691288475</v>
      </c>
      <c r="AV27" s="139">
        <f>Table8[[#This Row],[UCM for water heating
(€/MWh) ]]*'W.F. End-use Level'!Y28+Table8[[#This Row],[UCM for space heating
(€/MWh) ]]*'W.F. End-use Level'!Z28</f>
        <v>97.79301912174509</v>
      </c>
      <c r="AW27" s="167">
        <f>C27/'Utilisation by Sector'!$U$21</f>
        <v>1.9394609557109557</v>
      </c>
      <c r="AX27" s="167">
        <f>D27/'Utilisation by Sector'!$V$21</f>
        <v>9.6867850909490727</v>
      </c>
      <c r="AY27" s="167">
        <f>E27/'Utilisation by Sector'!$W$21</f>
        <v>2.1260819327731091</v>
      </c>
      <c r="AZ27" s="167">
        <f>F27/'Utilisation by Sector'!$X$21</f>
        <v>10.954104500891265</v>
      </c>
      <c r="BA27" s="167">
        <f>G27/'Utilisation by Sector'!$Y$21</f>
        <v>2.0038742183572147</v>
      </c>
      <c r="BB27" s="167">
        <f>H27/'Utilisation by Sector'!$Z$21</f>
        <v>6.153596218360093</v>
      </c>
      <c r="BC27" s="139">
        <f t="shared" si="16"/>
        <v>125.33946095571096</v>
      </c>
      <c r="BD27" s="139">
        <f t="shared" si="17"/>
        <v>133.08678509094909</v>
      </c>
      <c r="BE27" s="139">
        <f t="shared" si="18"/>
        <v>125.52608193277311</v>
      </c>
      <c r="BF27" s="139">
        <f t="shared" si="19"/>
        <v>134.35410450089128</v>
      </c>
      <c r="BG27" s="139">
        <f t="shared" si="20"/>
        <v>26.374743752355933</v>
      </c>
      <c r="BH27" s="139">
        <f t="shared" si="21"/>
        <v>8.6335962183600969</v>
      </c>
      <c r="BI27" s="139">
        <f>Table8[[#This Row],[UCM Electric water heater
(€/MWh)]]*'W.F. at Appliance Level'!X27</f>
        <v>125.33946095571096</v>
      </c>
      <c r="BJ27" s="139">
        <f>Table8[[#This Row],[UCM
A/C
(€/MWh)  ]]*'W.F. at Appliance Level'!Y27+Table8[[#This Row],[UCM
Other elecric appliances
(€/MWh)  ]]*'W.F. at Appliance Level'!Z27+Table8[[#This Row],[UCM
heat pumps
(€/MWh)  ]]*'W.F. at Appliance Level'!AA27+Table8[[#This Row],[UCM
Oil burner
(€/MWh) ]]*'W.F. at Appliance Level'!AB27+Table8[[#This Row],[UCM
Pellet/Wood burner
(€/MWh)  ]]*'W.F. at Appliance Level'!AC27</f>
        <v>75.612307390639089</v>
      </c>
      <c r="BK27" s="139">
        <f>Table8[[#This Row],[UCM for water heating
(€/MWh)  ]]*'W.F. End-use Level'!AA28+Table8[[#This Row],[UCM for space heating
(€/MWh)  ]]*'W.F. End-use Level'!AB28</f>
        <v>99.49079743949008</v>
      </c>
      <c r="BL27" s="134">
        <f>Table8[[#This Row],[Total UCM
(€/MWh)]]*'W.F. at Subsector Level'!H27+Table8[[#This Row],[Total UCM
(€/MWh) ]]*'W.F. at Subsector Level'!I27+Table8[[#This Row],[Total UCM 
(€/MWh)]]*'W.F. at Subsector Level'!J27</f>
        <v>101.19266653737435</v>
      </c>
    </row>
    <row r="28" spans="1:192" x14ac:dyDescent="0.3">
      <c r="A28" s="147" t="s">
        <v>41</v>
      </c>
      <c r="B28" s="166">
        <f>Table35[[#This Row],[Stove (€/MW)]]</f>
        <v>185859.93421878715</v>
      </c>
      <c r="C28" s="166">
        <f>Table35[[#This Row],[Electric Water heater (€/MW)]]</f>
        <v>17499.418181818182</v>
      </c>
      <c r="D28" s="166">
        <f>Table35[[#This Row],[A/C (€/MW)]]</f>
        <v>165877.1308768552</v>
      </c>
      <c r="E28" s="166">
        <f>Table35[[#This Row],[Other electric appliances (€/MW)]]</f>
        <v>11160.04</v>
      </c>
      <c r="F28" s="166">
        <f>Table35[[#This Row],[Heat pumps (€/MW)]]</f>
        <v>364239.75495103037</v>
      </c>
      <c r="G28" s="166">
        <f>Table35[[#This Row],[Oil Burner (€/MW)]]</f>
        <v>36343.079494316153</v>
      </c>
      <c r="H28" s="166">
        <f>Table35[[#This Row],[Burner (Pellet, wood,…) (€/MW)]]</f>
        <v>159344.35956200663</v>
      </c>
      <c r="I28" s="166">
        <f>'Fuel Prices excl. VAT'!B27</f>
        <v>3.8699999999999998E-2</v>
      </c>
      <c r="J28" s="166">
        <f>'Fuel Prices excl. VAT'!D27</f>
        <v>0.14949999999999999</v>
      </c>
      <c r="K28" s="166">
        <f>'Fuel Prices excl. VAT'!F27</f>
        <v>6.7473684210526311E-2</v>
      </c>
      <c r="L28" s="166">
        <f>'Fuel Prices excl. VAT'!H27</f>
        <v>4.4999999999999998E-2</v>
      </c>
      <c r="M28" s="166">
        <f t="shared" si="0"/>
        <v>0.1108</v>
      </c>
      <c r="N28" s="166">
        <f t="shared" si="1"/>
        <v>2.8773684210526312E-2</v>
      </c>
      <c r="O28" s="166">
        <f t="shared" si="2"/>
        <v>6.3E-3</v>
      </c>
      <c r="P28" s="166">
        <f>B28/'Utilisation by Sector'!$T$9</f>
        <v>6.3825526860847237</v>
      </c>
      <c r="Q28" s="166">
        <f>C28/'Utilisation by Sector'!$T$9</f>
        <v>0.6009415584415585</v>
      </c>
      <c r="R28" s="166">
        <f>D28/'Utilisation by Sector'!$V$9</f>
        <v>5.6963300438480493</v>
      </c>
      <c r="S28" s="166">
        <f>E28/'Utilisation by Sector'!$W$9</f>
        <v>0.83733793517406974</v>
      </c>
      <c r="T28" s="166">
        <f>F28/'Utilisation by Sector'!$X$9</f>
        <v>12.753492820414229</v>
      </c>
      <c r="U28" s="166">
        <f>G28/'Utilisation by Sector'!$Y$9</f>
        <v>0.95438759176250398</v>
      </c>
      <c r="V28" s="166">
        <f>H28/'Utilisation by Sector'!$Z$9</f>
        <v>4.184463223792191</v>
      </c>
      <c r="W28" s="138">
        <f t="shared" si="3"/>
        <v>117.18255268608472</v>
      </c>
      <c r="X28" s="138">
        <f t="shared" si="4"/>
        <v>111.40094155844156</v>
      </c>
      <c r="Y28" s="138">
        <f t="shared" si="5"/>
        <v>116.49633004384805</v>
      </c>
      <c r="Z28" s="138">
        <f t="shared" si="6"/>
        <v>111.63733793517407</v>
      </c>
      <c r="AA28" s="138">
        <f t="shared" si="7"/>
        <v>123.55349282041422</v>
      </c>
      <c r="AB28" s="138">
        <f t="shared" si="8"/>
        <v>29.728071802288817</v>
      </c>
      <c r="AC28" s="138">
        <f t="shared" si="9"/>
        <v>10.48446322379219</v>
      </c>
      <c r="AD28" s="138">
        <f>Table8[[#This Row],[UCM
Stove
(€/MWh)]]*'W.F. at Appliance Level'!P28</f>
        <v>117.18255268608472</v>
      </c>
      <c r="AE28" s="138">
        <f>Table8[[#This Row],[UCM
Electric water heater
(€/MWh)]]*'W.F. at Appliance Level'!Q28</f>
        <v>111.40094155844156</v>
      </c>
      <c r="AF28" s="138">
        <f>Table8[[#This Row],[UCM
A/C
(€/MWh)]]*'W.F. at Appliance Level'!R28+Table8[[#This Row],[UCM
Other elecric appliances
(€/MWh)]]*'W.F. at Appliance Level'!S28+Table8[[#This Row],[UCM
heat pumps
(€/MWh)]]*'W.F. at Appliance Level'!T28+Table8[[#This Row],[UCM
Oil burner 
(€/MWh)]]*'W.F. at Appliance Level'!U28+Table8[[#This Row],[UCM
Pellet/Wood burner
(€/MWh)]]*'W.F. at Appliance Level'!V28</f>
        <v>78.37993916510348</v>
      </c>
      <c r="AG28" s="138">
        <f>Table8[[#This Row],[UCM for cooking
(€/MWh)]]*'W.F. End-use Level'!V29+Table8[[#This Row],[UCM for water heating
(€/MWh)]]*'W.F. End-use Level'!W29+Table8[[#This Row],[UCM for space heating
(€/MWh)]]*'W.F. End-use Level'!X29</f>
        <v>91.431067060311207</v>
      </c>
      <c r="AH28" s="166">
        <f>C28/'Utilisation by Sector'!$U$15</f>
        <v>0.56087878787878787</v>
      </c>
      <c r="AI28" s="166">
        <f>D28/'Utilisation by Sector'!$V$15</f>
        <v>4.4304789229929273</v>
      </c>
      <c r="AJ28" s="166">
        <f>E28/'Utilisation by Sector'!$W$15</f>
        <v>0.78151540616246506</v>
      </c>
      <c r="AK28" s="166">
        <f>F28/'Utilisation by Sector'!$X$15</f>
        <v>11.903259965719947</v>
      </c>
      <c r="AL28" s="166">
        <f>G28/'Utilisation by Sector'!$Y$15</f>
        <v>0.89076175231167043</v>
      </c>
      <c r="AM28" s="166">
        <f>H28/'Utilisation by Sector'!$Z$15</f>
        <v>3.9054990088727117</v>
      </c>
      <c r="AN28" s="138">
        <f t="shared" si="10"/>
        <v>111.36087878787879</v>
      </c>
      <c r="AO28" s="138">
        <f t="shared" si="11"/>
        <v>115.23047892299293</v>
      </c>
      <c r="AP28" s="138">
        <f t="shared" si="12"/>
        <v>111.58151540616247</v>
      </c>
      <c r="AQ28" s="138">
        <f t="shared" si="13"/>
        <v>122.70325996571995</v>
      </c>
      <c r="AR28" s="138">
        <f t="shared" si="14"/>
        <v>29.664445962837984</v>
      </c>
      <c r="AS28" s="138">
        <f t="shared" si="15"/>
        <v>10.205499008872712</v>
      </c>
      <c r="AT28" s="138">
        <f>Table8[[#This Row],[UCM
Electric water heater
(€/MWh) ]]*'W.F. at Appliance Level'!X28</f>
        <v>111.36087878787879</v>
      </c>
      <c r="AU28" s="138">
        <f>Table8[[#This Row],[UCM
A/C
(€/MWh) ]]*'W.F. at Appliance Level'!Y28+Table8[[#This Row],[UCM
Other elecric appliances
(€/MWh) ]]*'W.F. at Appliance Level'!Z28+Table8[[#This Row],[UCM
heat pumps
(€/MWh) ]]*'W.F. at Appliance Level'!AA28+Table8[[#This Row],[UCM
Oil burner
(€/MWh)]]*'W.F. at Appliance Level'!AB28+Table8[[#This Row],[UCM
Pellet/Wood burner
(€/MWh) ]]*'W.F. at Appliance Level'!AC28</f>
        <v>69.450920965105894</v>
      </c>
      <c r="AV28" s="138">
        <f>Table8[[#This Row],[UCM for water heating
(€/MWh) ]]*'W.F. End-use Level'!Y29+Table8[[#This Row],[UCM for space heating
(€/MWh) ]]*'W.F. End-use Level'!Z29</f>
        <v>75.636230160912334</v>
      </c>
      <c r="AW28" s="166">
        <f>C28/'Utilisation by Sector'!$U$21</f>
        <v>0.84131818181818185</v>
      </c>
      <c r="AX28" s="166">
        <f>D28/'Utilisation by Sector'!$V$21</f>
        <v>7.9748620613872694</v>
      </c>
      <c r="AY28" s="166">
        <f>E28/'Utilisation by Sector'!$W$21</f>
        <v>1.1722731092436975</v>
      </c>
      <c r="AZ28" s="166">
        <f>F28/'Utilisation by Sector'!$X$21</f>
        <v>17.85488994857992</v>
      </c>
      <c r="BA28" s="166">
        <f>G28/'Utilisation by Sector'!$Y$21</f>
        <v>1.3361426284675055</v>
      </c>
      <c r="BB28" s="166">
        <f>H28/'Utilisation by Sector'!$Z$21</f>
        <v>5.8582485133090678</v>
      </c>
      <c r="BC28" s="138">
        <f t="shared" si="16"/>
        <v>111.64131818181818</v>
      </c>
      <c r="BD28" s="138">
        <f t="shared" si="17"/>
        <v>118.77486206138727</v>
      </c>
      <c r="BE28" s="138">
        <f t="shared" si="18"/>
        <v>111.9722731092437</v>
      </c>
      <c r="BF28" s="138">
        <f t="shared" si="19"/>
        <v>128.65488994857992</v>
      </c>
      <c r="BG28" s="138">
        <f t="shared" si="20"/>
        <v>30.109826838993818</v>
      </c>
      <c r="BH28" s="138">
        <f t="shared" si="21"/>
        <v>12.158248513309069</v>
      </c>
      <c r="BI28" s="138">
        <f>Table8[[#This Row],[UCM Electric water heater
(€/MWh)]]*'W.F. at Appliance Level'!X28</f>
        <v>111.64131818181818</v>
      </c>
      <c r="BJ28" s="138">
        <f>Table8[[#This Row],[UCM
A/C
(€/MWh)  ]]*'W.F. at Appliance Level'!Y28+Table8[[#This Row],[UCM
Other elecric appliances
(€/MWh)  ]]*'W.F. at Appliance Level'!Z28+Table8[[#This Row],[UCM
heat pumps
(€/MWh)  ]]*'W.F. at Appliance Level'!AA28+Table8[[#This Row],[UCM
Oil burner
(€/MWh) ]]*'W.F. at Appliance Level'!AB28+Table8[[#This Row],[UCM
Pellet/Wood burner
(€/MWh)  ]]*'W.F. at Appliance Level'!AC28</f>
        <v>72.424456840567515</v>
      </c>
      <c r="BK28" s="138">
        <f>Table8[[#This Row],[UCM for water heating
(€/MWh)  ]]*'W.F. End-use Level'!AA29+Table8[[#This Row],[UCM for space heating
(€/MWh)  ]]*'W.F. End-use Level'!AB29</f>
        <v>78.212303588361124</v>
      </c>
      <c r="BL28" s="133">
        <f>Table8[[#This Row],[Total UCM
(€/MWh)]]*'W.F. at Subsector Level'!H28+Table8[[#This Row],[Total UCM
(€/MWh) ]]*'W.F. at Subsector Level'!I28+Table8[[#This Row],[Total UCM 
(€/MWh)]]*'W.F. at Subsector Level'!J28</f>
        <v>81.759866936528226</v>
      </c>
    </row>
    <row r="29" spans="1:192" x14ac:dyDescent="0.3">
      <c r="A29" s="168" t="s">
        <v>27</v>
      </c>
      <c r="B29" s="167">
        <f>Table35[[#This Row],[Stove (€/MW)]]</f>
        <v>176567.86463454607</v>
      </c>
      <c r="C29" s="167">
        <f>Table35[[#This Row],[Electric Water heater (€/MW)]]</f>
        <v>46917.125</v>
      </c>
      <c r="D29" s="167">
        <f>Table35[[#This Row],[A/C (€/MW)]]</f>
        <v>266351.91505498672</v>
      </c>
      <c r="E29" s="167">
        <f>Table35[[#This Row],[Other electric appliances (€/MW)]]</f>
        <v>17933.14</v>
      </c>
      <c r="F29" s="167">
        <f>Table35[[#This Row],[Heat pumps (€/MW)]]</f>
        <v>408342.8571428571</v>
      </c>
      <c r="G29" s="167">
        <f>Table35[[#This Row],[Oil Burner (€/MW)]]</f>
        <v>43428.846153846149</v>
      </c>
      <c r="H29" s="167">
        <f>Table35[[#This Row],[Burner (Pellet, wood,…) (€/MW)]]</f>
        <v>190333.50874999998</v>
      </c>
      <c r="I29" s="167">
        <f>'Fuel Prices excl. VAT'!B28</f>
        <v>5.57E-2</v>
      </c>
      <c r="J29" s="167">
        <f>'Fuel Prices excl. VAT'!D28</f>
        <v>0.2031</v>
      </c>
      <c r="K29" s="167">
        <f>'Fuel Prices excl. VAT'!F28</f>
        <v>7.2763157894736849E-2</v>
      </c>
      <c r="L29" s="167">
        <f>'Fuel Prices excl. VAT'!H28</f>
        <v>5.5562500000000001E-2</v>
      </c>
      <c r="M29" s="167">
        <f t="shared" si="0"/>
        <v>0.1474</v>
      </c>
      <c r="N29" s="167">
        <f t="shared" si="1"/>
        <v>1.706315789473685E-2</v>
      </c>
      <c r="O29" s="167">
        <f t="shared" si="2"/>
        <v>-1.3749999999999873E-4</v>
      </c>
      <c r="P29" s="167">
        <f>B29/'Utilisation by Sector'!$T$9</f>
        <v>6.0634568899225982</v>
      </c>
      <c r="Q29" s="167">
        <f>C29/'Utilisation by Sector'!$T$9</f>
        <v>1.6111650068681318</v>
      </c>
      <c r="R29" s="167">
        <f>D29/'Utilisation by Sector'!$V$9</f>
        <v>9.1467003796355328</v>
      </c>
      <c r="S29" s="167">
        <f>E29/'Utilisation by Sector'!$W$9</f>
        <v>1.3455237094837935</v>
      </c>
      <c r="T29" s="167">
        <f>F29/'Utilisation by Sector'!$X$9</f>
        <v>14.297719087635052</v>
      </c>
      <c r="U29" s="167">
        <f>G29/'Utilisation by Sector'!$Y$9</f>
        <v>1.1404633968972202</v>
      </c>
      <c r="V29" s="167">
        <f>H29/'Utilisation by Sector'!$Z$9</f>
        <v>4.9982539062499995</v>
      </c>
      <c r="W29" s="139">
        <f t="shared" si="3"/>
        <v>153.46345688992261</v>
      </c>
      <c r="X29" s="139">
        <f t="shared" si="4"/>
        <v>149.01116500686814</v>
      </c>
      <c r="Y29" s="139">
        <f t="shared" si="5"/>
        <v>156.54670037963552</v>
      </c>
      <c r="Z29" s="139">
        <f t="shared" si="6"/>
        <v>148.74552370948379</v>
      </c>
      <c r="AA29" s="139">
        <f t="shared" si="7"/>
        <v>161.69771908763505</v>
      </c>
      <c r="AB29" s="139">
        <f t="shared" si="8"/>
        <v>18.203621291634072</v>
      </c>
      <c r="AC29" s="139">
        <f t="shared" si="9"/>
        <v>4.8607539062500011</v>
      </c>
      <c r="AD29" s="139">
        <f>Table8[[#This Row],[UCM
Stove
(€/MWh)]]*'W.F. at Appliance Level'!P29</f>
        <v>153.46345688992261</v>
      </c>
      <c r="AE29" s="139">
        <f>Table8[[#This Row],[UCM
Electric water heater
(€/MWh)]]*'W.F. at Appliance Level'!Q29</f>
        <v>149.01116500686814</v>
      </c>
      <c r="AF29" s="139">
        <f>Table8[[#This Row],[UCM
A/C
(€/MWh)]]*'W.F. at Appliance Level'!R29+Table8[[#This Row],[UCM
Other elecric appliances
(€/MWh)]]*'W.F. at Appliance Level'!S29+Table8[[#This Row],[UCM
heat pumps
(€/MWh)]]*'W.F. at Appliance Level'!T29+Table8[[#This Row],[UCM
Oil burner 
(€/MWh)]]*'W.F. at Appliance Level'!U29+Table8[[#This Row],[UCM
Pellet/Wood burner
(€/MWh)]]*'W.F. at Appliance Level'!V29</f>
        <v>98.010863674927691</v>
      </c>
      <c r="AG29" s="139">
        <f>Table8[[#This Row],[UCM for cooking
(€/MWh)]]*'W.F. End-use Level'!V30+Table8[[#This Row],[UCM for water heating
(€/MWh)]]*'W.F. End-use Level'!W30+Table8[[#This Row],[UCM for space heating
(€/MWh)]]*'W.F. End-use Level'!X30</f>
        <v>107.19970689106637</v>
      </c>
      <c r="AH29" s="167">
        <f>C29/'Utilisation by Sector'!$U$15</f>
        <v>1.5037540064102564</v>
      </c>
      <c r="AI29" s="167">
        <f>D29/'Utilisation by Sector'!$V$15</f>
        <v>7.1141002952720811</v>
      </c>
      <c r="AJ29" s="167">
        <f>E29/'Utilisation by Sector'!$W$15</f>
        <v>1.2558221288515405</v>
      </c>
      <c r="AK29" s="167">
        <f>F29/'Utilisation by Sector'!$X$15</f>
        <v>13.344537815126049</v>
      </c>
      <c r="AL29" s="167">
        <f>G29/'Utilisation by Sector'!$Y$15</f>
        <v>1.0644325037707389</v>
      </c>
      <c r="AM29" s="167">
        <f>H29/'Utilisation by Sector'!$Z$15</f>
        <v>4.6650369791666657</v>
      </c>
      <c r="AN29" s="139">
        <f t="shared" si="10"/>
        <v>148.90375400641025</v>
      </c>
      <c r="AO29" s="139">
        <f t="shared" si="11"/>
        <v>154.5141002952721</v>
      </c>
      <c r="AP29" s="139">
        <f t="shared" si="12"/>
        <v>148.65582212885155</v>
      </c>
      <c r="AQ29" s="139">
        <f t="shared" si="13"/>
        <v>160.74453781512605</v>
      </c>
      <c r="AR29" s="139">
        <f t="shared" si="14"/>
        <v>18.127590398507589</v>
      </c>
      <c r="AS29" s="139">
        <f t="shared" si="15"/>
        <v>4.5275369791666673</v>
      </c>
      <c r="AT29" s="139">
        <f>Table8[[#This Row],[UCM
Electric water heater
(€/MWh) ]]*'W.F. at Appliance Level'!X29</f>
        <v>148.90375400641025</v>
      </c>
      <c r="AU29" s="139">
        <f>Table8[[#This Row],[UCM
A/C
(€/MWh) ]]*'W.F. at Appliance Level'!Y29+Table8[[#This Row],[UCM
Other elecric appliances
(€/MWh) ]]*'W.F. at Appliance Level'!Z29+Table8[[#This Row],[UCM
heat pumps
(€/MWh) ]]*'W.F. at Appliance Level'!AA29+Table8[[#This Row],[UCM
Oil burner
(€/MWh)]]*'W.F. at Appliance Level'!AB29+Table8[[#This Row],[UCM
Pellet/Wood burner
(€/MWh) ]]*'W.F. at Appliance Level'!AC29</f>
        <v>84.478441372018096</v>
      </c>
      <c r="AV29" s="139">
        <f>Table8[[#This Row],[UCM for water heating
(€/MWh) ]]*'W.F. End-use Level'!Y30+Table8[[#This Row],[UCM for space heating
(€/MWh) ]]*'W.F. End-use Level'!Z30</f>
        <v>91.761592078079474</v>
      </c>
      <c r="AW29" s="167">
        <f>C29/'Utilisation by Sector'!$U$21</f>
        <v>2.2556310096153847</v>
      </c>
      <c r="AX29" s="167">
        <f>D29/'Utilisation by Sector'!$V$21</f>
        <v>12.805380531489746</v>
      </c>
      <c r="AY29" s="167">
        <f>E29/'Utilisation by Sector'!$W$21</f>
        <v>1.8837331932773109</v>
      </c>
      <c r="AZ29" s="167">
        <f>F29/'Utilisation by Sector'!$X$21</f>
        <v>20.016806722689072</v>
      </c>
      <c r="BA29" s="167">
        <f>G29/'Utilisation by Sector'!$Y$21</f>
        <v>1.5966487556561084</v>
      </c>
      <c r="BB29" s="167">
        <f>H29/'Utilisation by Sector'!$Z$21</f>
        <v>6.997555468749999</v>
      </c>
      <c r="BC29" s="139">
        <f t="shared" si="16"/>
        <v>149.65563100961538</v>
      </c>
      <c r="BD29" s="139">
        <f t="shared" si="17"/>
        <v>160.20538053148977</v>
      </c>
      <c r="BE29" s="139">
        <f t="shared" si="18"/>
        <v>149.28373319327733</v>
      </c>
      <c r="BF29" s="139">
        <f t="shared" si="19"/>
        <v>167.41680672268907</v>
      </c>
      <c r="BG29" s="139">
        <f t="shared" si="20"/>
        <v>18.659806650392959</v>
      </c>
      <c r="BH29" s="139">
        <f t="shared" si="21"/>
        <v>6.8600554687500006</v>
      </c>
      <c r="BI29" s="139">
        <f>Table8[[#This Row],[UCM Electric water heater
(€/MWh)]]*'W.F. at Appliance Level'!X29</f>
        <v>149.65563100961538</v>
      </c>
      <c r="BJ29" s="139">
        <f>Table8[[#This Row],[UCM
A/C
(€/MWh)  ]]*'W.F. at Appliance Level'!Y29+Table8[[#This Row],[UCM
Other elecric appliances
(€/MWh)  ]]*'W.F. at Appliance Level'!Z29+Table8[[#This Row],[UCM
heat pumps
(€/MWh)  ]]*'W.F. at Appliance Level'!AA29+Table8[[#This Row],[UCM
Oil burner
(€/MWh) ]]*'W.F. at Appliance Level'!AB29+Table8[[#This Row],[UCM
Pellet/Wood burner
(€/MWh)  ]]*'W.F. at Appliance Level'!AC29</f>
        <v>88.285512343330439</v>
      </c>
      <c r="BK29" s="139">
        <f>Table8[[#This Row],[UCM for water heating
(€/MWh)  ]]*'W.F. End-use Level'!AA30+Table8[[#This Row],[UCM for space heating
(€/MWh)  ]]*'W.F. End-use Level'!AB30</f>
        <v>95.223279578266911</v>
      </c>
      <c r="BL29" s="134">
        <f>Table8[[#This Row],[Total UCM
(€/MWh)]]*'W.F. at Subsector Level'!H29+Table8[[#This Row],[Total UCM
(€/MWh) ]]*'W.F. at Subsector Level'!I29+Table8[[#This Row],[Total UCM 
(€/MWh)]]*'W.F. at Subsector Level'!J29</f>
        <v>98.061526182470928</v>
      </c>
    </row>
    <row r="30" spans="1:192" x14ac:dyDescent="0.3">
      <c r="A30" s="169" t="s">
        <v>28</v>
      </c>
      <c r="B30" s="170">
        <f>AVERAGE(Table3[Stove (€/MW)])</f>
        <v>177513.83358529193</v>
      </c>
      <c r="C30" s="171">
        <f>AVERAGE(Table3[Electric Water heater (€/MW)])</f>
        <v>62329.7419998728</v>
      </c>
      <c r="D30" s="170">
        <f>AVERAGE(Table3[A/C (€/MW)])</f>
        <v>140848.5230711106</v>
      </c>
      <c r="E30" s="171">
        <f>AVERAGE(Table3[Other electric appliances (€/MW)])</f>
        <v>21540.090058244605</v>
      </c>
      <c r="F30" s="170">
        <f>AVERAGE(F15:F23,F27,F29,F13,F4:F10)</f>
        <v>364239.75495103037</v>
      </c>
      <c r="G30" s="171">
        <f>AVERAGE(G29,G27,G21:G25,G19,G17,G15,G13,G10,G8,G6,G4:G5)</f>
        <v>36343.079494316153</v>
      </c>
      <c r="H30" s="170">
        <f>AVERAGE(H27:H29,H23:H25,H13:H21,H5:H10)</f>
        <v>105171.75608498839</v>
      </c>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W30" s="172"/>
      <c r="AX30" s="172"/>
      <c r="AY30" s="172"/>
      <c r="AZ30" s="172"/>
      <c r="BA30" s="172"/>
      <c r="BB30" s="172"/>
      <c r="BC30" s="172"/>
      <c r="BD30" s="172"/>
      <c r="BE30" s="172"/>
      <c r="BF30" s="172"/>
      <c r="BG30" s="172"/>
      <c r="BH30" s="172"/>
      <c r="BI30" s="172"/>
      <c r="BJ30" s="172"/>
      <c r="BK30" s="173"/>
      <c r="BL30" s="47"/>
    </row>
  </sheetData>
  <mergeCells count="23">
    <mergeCell ref="W1:AC1"/>
    <mergeCell ref="Y2:AC2"/>
    <mergeCell ref="AD1:AF2"/>
    <mergeCell ref="AG1:AG2"/>
    <mergeCell ref="B1:H1"/>
    <mergeCell ref="I1:L2"/>
    <mergeCell ref="D2:H2"/>
    <mergeCell ref="M1:O2"/>
    <mergeCell ref="P1:V1"/>
    <mergeCell ref="R2:V2"/>
    <mergeCell ref="BL1:BL2"/>
    <mergeCell ref="BI1:BJ2"/>
    <mergeCell ref="AT1:AU2"/>
    <mergeCell ref="AW1:BB1"/>
    <mergeCell ref="BC1:BH1"/>
    <mergeCell ref="BK1:BK2"/>
    <mergeCell ref="AH1:AM1"/>
    <mergeCell ref="AO2:AS2"/>
    <mergeCell ref="AX2:BB2"/>
    <mergeCell ref="BD2:BH2"/>
    <mergeCell ref="AV1:AV2"/>
    <mergeCell ref="AN1:AS1"/>
    <mergeCell ref="AI2:AM2"/>
  </mergeCells>
  <pageMargins left="0.7" right="0.7" top="0.75" bottom="0.75" header="0.3" footer="0.3"/>
  <pageSetup paperSize="9" orientation="portrait" horizontalDpi="4294967293" verticalDpi="4294967293"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2"/>
  <sheetViews>
    <sheetView showGridLines="0" topLeftCell="A11" zoomScale="75" zoomScaleNormal="75" workbookViewId="0">
      <selection activeCell="F38" sqref="F38"/>
    </sheetView>
  </sheetViews>
  <sheetFormatPr defaultRowHeight="18.75" x14ac:dyDescent="0.3"/>
  <cols>
    <col min="1" max="12" width="20.7109375" customWidth="1"/>
    <col min="13" max="14" width="20.7109375" style="37" customWidth="1"/>
    <col min="15" max="15" width="20.7109375" style="48" customWidth="1"/>
  </cols>
  <sheetData>
    <row r="1" spans="1:15" ht="31.5" customHeight="1" x14ac:dyDescent="0.25">
      <c r="A1" s="281" t="s">
        <v>29</v>
      </c>
      <c r="B1" s="277"/>
      <c r="C1" s="277"/>
      <c r="D1" s="277"/>
      <c r="E1" s="277"/>
      <c r="F1" s="277"/>
      <c r="G1" s="277"/>
      <c r="H1" s="277"/>
      <c r="I1" s="277"/>
      <c r="J1" s="277"/>
      <c r="K1" s="277"/>
      <c r="L1" s="278"/>
      <c r="M1" s="284" t="s">
        <v>217</v>
      </c>
      <c r="N1" s="278"/>
      <c r="O1" s="286" t="s">
        <v>46</v>
      </c>
    </row>
    <row r="2" spans="1:15" ht="15.75" customHeight="1" x14ac:dyDescent="0.25">
      <c r="A2" s="282"/>
      <c r="B2" s="279"/>
      <c r="C2" s="279"/>
      <c r="D2" s="279"/>
      <c r="E2" s="279"/>
      <c r="F2" s="279"/>
      <c r="G2" s="279"/>
      <c r="H2" s="279"/>
      <c r="I2" s="279"/>
      <c r="J2" s="279"/>
      <c r="K2" s="279"/>
      <c r="L2" s="280"/>
      <c r="M2" s="285"/>
      <c r="N2" s="280"/>
      <c r="O2" s="286"/>
    </row>
    <row r="3" spans="1:15" s="41" customFormat="1" ht="105" customHeight="1" x14ac:dyDescent="0.25">
      <c r="A3" s="283"/>
      <c r="B3" s="40" t="s">
        <v>91</v>
      </c>
      <c r="C3" s="40" t="s">
        <v>92</v>
      </c>
      <c r="D3" s="40" t="s">
        <v>207</v>
      </c>
      <c r="E3" s="27"/>
      <c r="F3" s="40" t="s">
        <v>266</v>
      </c>
      <c r="G3" s="40" t="s">
        <v>265</v>
      </c>
      <c r="H3" s="40" t="s">
        <v>343</v>
      </c>
      <c r="I3" s="40" t="s">
        <v>344</v>
      </c>
      <c r="J3" s="40" t="s">
        <v>345</v>
      </c>
      <c r="K3" s="27" t="s">
        <v>208</v>
      </c>
      <c r="L3" s="40" t="s">
        <v>209</v>
      </c>
      <c r="M3" s="36" t="s">
        <v>210</v>
      </c>
      <c r="N3" s="36" t="s">
        <v>211</v>
      </c>
      <c r="O3" s="111" t="s">
        <v>316</v>
      </c>
    </row>
    <row r="4" spans="1:15" ht="15.75" x14ac:dyDescent="0.25">
      <c r="A4" s="28" t="s">
        <v>2</v>
      </c>
      <c r="B4" s="49">
        <f>'fuel UCM Industrial'!D4</f>
        <v>3.2500000000000001E-2</v>
      </c>
      <c r="C4" s="49">
        <f>'fuel UCM Industrial'!E4</f>
        <v>7.3849141117371869E-2</v>
      </c>
      <c r="D4" s="49">
        <f>C4-B4</f>
        <v>4.1349141117371868E-2</v>
      </c>
      <c r="E4" s="6" t="s">
        <v>44</v>
      </c>
      <c r="F4" s="49">
        <v>6198.7665198237873</v>
      </c>
      <c r="G4" s="49">
        <v>45173.368421052626</v>
      </c>
      <c r="H4" s="49">
        <f>F6/'Utilisation by Sector'!AC8</f>
        <v>0.12469874684645238</v>
      </c>
      <c r="I4" s="49">
        <f>G6/'Utilisation by Sector'!AD8</f>
        <v>0.56897284571723428</v>
      </c>
      <c r="J4" s="49">
        <f>K4/10.9*1000*12*10</f>
        <v>44.839536091396958</v>
      </c>
      <c r="K4" s="49">
        <v>4.0729245283018904E-3</v>
      </c>
      <c r="L4" s="49">
        <f>$J$4+D4*1000</f>
        <v>86.188677208768837</v>
      </c>
      <c r="M4" s="130">
        <f>$H$4+L4</f>
        <v>86.313375955615285</v>
      </c>
      <c r="N4" s="130">
        <f>$I$4+L4</f>
        <v>86.757650054486078</v>
      </c>
      <c r="O4" s="140">
        <f>AVERAGE(M4:N4)</f>
        <v>86.535513005050689</v>
      </c>
    </row>
    <row r="5" spans="1:15" ht="15.75" x14ac:dyDescent="0.25">
      <c r="A5" s="28" t="s">
        <v>3</v>
      </c>
      <c r="B5" s="50">
        <f>'fuel UCM Industrial'!D5</f>
        <v>4.1300000000000003E-2</v>
      </c>
      <c r="C5" s="50">
        <f>'fuel UCM Industrial'!E5</f>
        <v>7.5828558950675334E-2</v>
      </c>
      <c r="D5" s="50">
        <f t="shared" ref="D5:D29" si="0">C5-B5</f>
        <v>3.4528558950675331E-2</v>
      </c>
      <c r="E5" s="6" t="s">
        <v>45</v>
      </c>
      <c r="F5" s="50">
        <v>14152.068965517239</v>
      </c>
      <c r="G5" s="50">
        <v>47683</v>
      </c>
      <c r="H5" s="1"/>
      <c r="I5" s="1"/>
      <c r="J5" s="1"/>
      <c r="K5" s="1"/>
      <c r="L5" s="50">
        <f t="shared" ref="L5:L29" si="1">$J$4+D5*1000</f>
        <v>79.368095042072298</v>
      </c>
      <c r="M5" s="131">
        <f t="shared" ref="M5:M30" si="2">$H$4+L5</f>
        <v>79.492793788918746</v>
      </c>
      <c r="N5" s="131">
        <f t="shared" ref="N5:O30" si="3">$I$4+L5</f>
        <v>79.937067887789539</v>
      </c>
      <c r="O5" s="145">
        <f t="shared" ref="O5:O29" si="4">AVERAGE(M5:N5)</f>
        <v>79.71493083835415</v>
      </c>
    </row>
    <row r="6" spans="1:15" ht="15.75" x14ac:dyDescent="0.25">
      <c r="A6" s="28" t="s">
        <v>4</v>
      </c>
      <c r="B6" s="49">
        <f>'fuel UCM Industrial'!D6</f>
        <v>4.6300000000000001E-2</v>
      </c>
      <c r="C6" s="49">
        <f>'fuel UCM Industrial'!E6</f>
        <v>7.5828558950675334E-2</v>
      </c>
      <c r="D6" s="49">
        <f t="shared" si="0"/>
        <v>2.9528558950675333E-2</v>
      </c>
      <c r="E6" s="7" t="s">
        <v>28</v>
      </c>
      <c r="F6" s="49">
        <f>AVERAGE(F4:F5)</f>
        <v>10175.417742670514</v>
      </c>
      <c r="G6" s="49">
        <f>AVERAGE(G4:G5)</f>
        <v>46428.184210526313</v>
      </c>
      <c r="H6" s="5"/>
      <c r="I6" s="5"/>
      <c r="J6" s="5"/>
      <c r="K6" s="5"/>
      <c r="L6" s="49">
        <f t="shared" si="1"/>
        <v>74.368095042072298</v>
      </c>
      <c r="M6" s="130">
        <f t="shared" si="2"/>
        <v>74.492793788918746</v>
      </c>
      <c r="N6" s="130">
        <f t="shared" si="3"/>
        <v>74.937067887789539</v>
      </c>
      <c r="O6" s="140">
        <f t="shared" si="4"/>
        <v>74.71493083835415</v>
      </c>
    </row>
    <row r="7" spans="1:15" ht="15.75" x14ac:dyDescent="0.25">
      <c r="A7" s="28" t="s">
        <v>5</v>
      </c>
      <c r="B7" s="50">
        <f>'fuel UCM Industrial'!D7</f>
        <v>2.76E-2</v>
      </c>
      <c r="C7" s="50">
        <f>'fuel UCM Industrial'!E7</f>
        <v>2.9700917431192662E-2</v>
      </c>
      <c r="D7" s="50">
        <f t="shared" si="0"/>
        <v>2.1009174311926622E-3</v>
      </c>
      <c r="L7" s="50">
        <f t="shared" si="1"/>
        <v>46.940453522589621</v>
      </c>
      <c r="M7" s="131">
        <f t="shared" si="2"/>
        <v>47.065152269436076</v>
      </c>
      <c r="N7" s="131">
        <f t="shared" si="3"/>
        <v>47.509426368306855</v>
      </c>
      <c r="O7" s="145">
        <f t="shared" si="4"/>
        <v>47.287289318871466</v>
      </c>
    </row>
    <row r="8" spans="1:15" ht="15.75" x14ac:dyDescent="0.25">
      <c r="A8" s="28" t="s">
        <v>6</v>
      </c>
      <c r="B8" s="49">
        <f>'fuel UCM Industrial'!D8</f>
        <v>2.7E-2</v>
      </c>
      <c r="C8" s="49">
        <f>'fuel UCM Industrial'!E8</f>
        <v>2.9700917431192662E-2</v>
      </c>
      <c r="D8" s="49">
        <f t="shared" si="0"/>
        <v>2.700917431192662E-3</v>
      </c>
      <c r="L8" s="49">
        <f t="shared" si="1"/>
        <v>47.540453522589623</v>
      </c>
      <c r="M8" s="130">
        <f t="shared" si="2"/>
        <v>47.665152269436078</v>
      </c>
      <c r="N8" s="130">
        <f t="shared" si="3"/>
        <v>48.109426368306856</v>
      </c>
      <c r="O8" s="140">
        <f t="shared" si="4"/>
        <v>47.887289318871467</v>
      </c>
    </row>
    <row r="9" spans="1:15" ht="15.75" x14ac:dyDescent="0.25">
      <c r="A9" s="28" t="s">
        <v>7</v>
      </c>
      <c r="B9" s="50">
        <f>'fuel UCM Industrial'!D9</f>
        <v>2.46E-2</v>
      </c>
      <c r="C9" s="50">
        <f>'fuel UCM Industrial'!E9</f>
        <v>2.9700917431192662E-2</v>
      </c>
      <c r="D9" s="50">
        <f t="shared" si="0"/>
        <v>5.1009174311926614E-3</v>
      </c>
      <c r="L9" s="50">
        <f t="shared" si="1"/>
        <v>49.940453522589621</v>
      </c>
      <c r="M9" s="131">
        <f t="shared" si="2"/>
        <v>50.065152269436076</v>
      </c>
      <c r="N9" s="131">
        <f t="shared" si="3"/>
        <v>50.509426368306855</v>
      </c>
      <c r="O9" s="145">
        <f t="shared" si="4"/>
        <v>50.287289318871466</v>
      </c>
    </row>
    <row r="10" spans="1:15" ht="15.75" x14ac:dyDescent="0.25">
      <c r="A10" s="28" t="s">
        <v>8</v>
      </c>
      <c r="B10" s="49">
        <f>'fuel UCM Industrial'!D10</f>
        <v>2.8299999999999999E-2</v>
      </c>
      <c r="C10" s="49">
        <f>'fuel UCM Industrial'!E10</f>
        <v>4.1611926605504584E-2</v>
      </c>
      <c r="D10" s="49">
        <f t="shared" si="0"/>
        <v>1.3311926605504586E-2</v>
      </c>
      <c r="L10" s="49">
        <f t="shared" si="1"/>
        <v>58.151462696901547</v>
      </c>
      <c r="M10" s="130">
        <f t="shared" si="2"/>
        <v>58.276161443748002</v>
      </c>
      <c r="N10" s="130">
        <f t="shared" si="3"/>
        <v>58.72043554261878</v>
      </c>
      <c r="O10" s="140">
        <f t="shared" si="4"/>
        <v>58.498298493183391</v>
      </c>
    </row>
    <row r="11" spans="1:15" ht="15.75" x14ac:dyDescent="0.25">
      <c r="A11" s="28" t="s">
        <v>9</v>
      </c>
      <c r="B11" s="50">
        <f>'fuel UCM Industrial'!D11</f>
        <v>2.7099999999999999E-2</v>
      </c>
      <c r="C11" s="50">
        <f>'fuel UCM Industrial'!E11</f>
        <v>3.8847706422018347E-2</v>
      </c>
      <c r="D11" s="50">
        <f t="shared" si="0"/>
        <v>1.1747706422018347E-2</v>
      </c>
      <c r="L11" s="50">
        <f t="shared" si="1"/>
        <v>56.587242513415305</v>
      </c>
      <c r="M11" s="131">
        <f t="shared" si="2"/>
        <v>56.71194126026176</v>
      </c>
      <c r="N11" s="131">
        <f t="shared" si="3"/>
        <v>57.156215359132538</v>
      </c>
      <c r="O11" s="145">
        <f t="shared" si="4"/>
        <v>56.934078309697149</v>
      </c>
    </row>
    <row r="12" spans="1:15" ht="15.75" x14ac:dyDescent="0.25">
      <c r="A12" s="28" t="s">
        <v>10</v>
      </c>
      <c r="B12" s="49">
        <f>'fuel UCM Industrial'!D12</f>
        <v>2.9899999999999999E-2</v>
      </c>
      <c r="C12" s="49">
        <f>'fuel UCM Industrial'!E12</f>
        <v>3.5921100917431191E-2</v>
      </c>
      <c r="D12" s="49">
        <f t="shared" si="0"/>
        <v>6.0211009174311915E-3</v>
      </c>
      <c r="L12" s="49">
        <f t="shared" si="1"/>
        <v>50.860637008828149</v>
      </c>
      <c r="M12" s="130">
        <f t="shared" si="2"/>
        <v>50.985335755674605</v>
      </c>
      <c r="N12" s="130">
        <f t="shared" si="3"/>
        <v>51.429609854545383</v>
      </c>
      <c r="O12" s="140">
        <f t="shared" si="4"/>
        <v>51.207472805109994</v>
      </c>
    </row>
    <row r="13" spans="1:15" ht="15.75" x14ac:dyDescent="0.25">
      <c r="A13" s="28" t="s">
        <v>11</v>
      </c>
      <c r="B13" s="50">
        <f>'fuel UCM Industrial'!D13</f>
        <v>2.7900000000000001E-2</v>
      </c>
      <c r="C13" s="50">
        <f>'fuel UCM Industrial'!E13</f>
        <v>5.5047706422018346E-2</v>
      </c>
      <c r="D13" s="50">
        <f t="shared" si="0"/>
        <v>2.7147706422018344E-2</v>
      </c>
      <c r="L13" s="50">
        <f t="shared" si="1"/>
        <v>71.98724251341531</v>
      </c>
      <c r="M13" s="131">
        <f t="shared" si="2"/>
        <v>72.111941260261759</v>
      </c>
      <c r="N13" s="131">
        <f t="shared" si="3"/>
        <v>72.556215359132551</v>
      </c>
      <c r="O13" s="145">
        <f t="shared" si="4"/>
        <v>72.334078309697162</v>
      </c>
    </row>
    <row r="14" spans="1:15" ht="15.75" x14ac:dyDescent="0.25">
      <c r="A14" s="28" t="s">
        <v>12</v>
      </c>
      <c r="B14" s="49">
        <f>'fuel UCM Industrial'!D14</f>
        <v>2.46E-2</v>
      </c>
      <c r="C14" s="49">
        <f>'fuel UCM Industrial'!E14</f>
        <v>4.5883940620782715E-2</v>
      </c>
      <c r="D14" s="49">
        <f t="shared" si="0"/>
        <v>2.1283940620782715E-2</v>
      </c>
      <c r="L14" s="49">
        <f t="shared" si="1"/>
        <v>66.123476712179666</v>
      </c>
      <c r="M14" s="130">
        <f t="shared" si="2"/>
        <v>66.248175459026115</v>
      </c>
      <c r="N14" s="130">
        <f t="shared" si="3"/>
        <v>66.692449557896907</v>
      </c>
      <c r="O14" s="140">
        <f t="shared" si="4"/>
        <v>66.470312508461518</v>
      </c>
    </row>
    <row r="15" spans="1:15" ht="15.75" x14ac:dyDescent="0.25">
      <c r="A15" s="28" t="s">
        <v>13</v>
      </c>
      <c r="B15" s="50">
        <f>'fuel UCM Industrial'!D15</f>
        <v>2.5499999999999998E-2</v>
      </c>
      <c r="C15" s="50">
        <f>'fuel UCM Industrial'!E15</f>
        <v>3.6047366169080206E-2</v>
      </c>
      <c r="D15" s="50">
        <f t="shared" si="0"/>
        <v>1.0547366169080207E-2</v>
      </c>
      <c r="L15" s="50">
        <f t="shared" si="1"/>
        <v>55.386902260477164</v>
      </c>
      <c r="M15" s="131">
        <f t="shared" si="2"/>
        <v>55.51160100732362</v>
      </c>
      <c r="N15" s="131">
        <f t="shared" si="3"/>
        <v>55.955875106194398</v>
      </c>
      <c r="O15" s="145">
        <f t="shared" si="4"/>
        <v>55.733738056759009</v>
      </c>
    </row>
    <row r="16" spans="1:15" ht="15.75" x14ac:dyDescent="0.25">
      <c r="A16" s="28" t="s">
        <v>14</v>
      </c>
      <c r="B16" s="49">
        <f>'fuel UCM Industrial'!D16</f>
        <v>2.18E-2</v>
      </c>
      <c r="C16" s="49">
        <f>'fuel UCM Industrial'!E16</f>
        <v>3.6047366169080206E-2</v>
      </c>
      <c r="D16" s="49">
        <f t="shared" si="0"/>
        <v>1.4247366169080206E-2</v>
      </c>
      <c r="L16" s="49">
        <f t="shared" si="1"/>
        <v>59.08690226047716</v>
      </c>
      <c r="M16" s="130">
        <f t="shared" si="2"/>
        <v>59.211601007323615</v>
      </c>
      <c r="N16" s="130">
        <f t="shared" si="3"/>
        <v>59.655875106194394</v>
      </c>
      <c r="O16" s="140">
        <f t="shared" si="4"/>
        <v>59.433738056759005</v>
      </c>
    </row>
    <row r="17" spans="1:15" ht="15.75" x14ac:dyDescent="0.25">
      <c r="A17" s="28" t="s">
        <v>15</v>
      </c>
      <c r="B17" s="50">
        <f>'fuel UCM Industrial'!D17</f>
        <v>2.7300000000000001E-2</v>
      </c>
      <c r="C17" s="50">
        <f>'fuel UCM Industrial'!E17</f>
        <v>3.6432637488777397E-2</v>
      </c>
      <c r="D17" s="50">
        <f t="shared" si="0"/>
        <v>9.132637488777396E-3</v>
      </c>
      <c r="L17" s="50">
        <f t="shared" si="1"/>
        <v>53.972173580174356</v>
      </c>
      <c r="M17" s="131">
        <f t="shared" si="2"/>
        <v>54.096872327020812</v>
      </c>
      <c r="N17" s="131">
        <f t="shared" si="3"/>
        <v>54.54114642589159</v>
      </c>
      <c r="O17" s="145">
        <f t="shared" si="4"/>
        <v>54.319009376456201</v>
      </c>
    </row>
    <row r="18" spans="1:15" ht="15.75" x14ac:dyDescent="0.25">
      <c r="A18" s="28" t="s">
        <v>16</v>
      </c>
      <c r="B18" s="49">
        <f>'fuel UCM Industrial'!D18</f>
        <v>2.8199999999999999E-2</v>
      </c>
      <c r="C18" s="49">
        <f>'fuel UCM Industrial'!E18</f>
        <v>4.612568807339449E-2</v>
      </c>
      <c r="D18" s="49">
        <f t="shared" si="0"/>
        <v>1.7925688073394491E-2</v>
      </c>
      <c r="L18" s="49">
        <f t="shared" si="1"/>
        <v>62.765224164791448</v>
      </c>
      <c r="M18" s="130">
        <f t="shared" si="2"/>
        <v>62.889922911637903</v>
      </c>
      <c r="N18" s="130">
        <f t="shared" si="3"/>
        <v>63.334197010508682</v>
      </c>
      <c r="O18" s="140">
        <f t="shared" si="4"/>
        <v>63.112059961073292</v>
      </c>
    </row>
    <row r="19" spans="1:15" ht="15.75" x14ac:dyDescent="0.25">
      <c r="A19" s="28" t="s">
        <v>17</v>
      </c>
      <c r="B19" s="50">
        <f>'fuel UCM Industrial'!D19</f>
        <v>3.09E-2</v>
      </c>
      <c r="C19" s="50">
        <f>'fuel UCM Industrial'!E19</f>
        <v>5.1111926605504593E-2</v>
      </c>
      <c r="D19" s="50">
        <f t="shared" si="0"/>
        <v>2.0211926605504592E-2</v>
      </c>
      <c r="L19" s="50">
        <f t="shared" si="1"/>
        <v>65.051462696901552</v>
      </c>
      <c r="M19" s="131">
        <f t="shared" si="2"/>
        <v>65.176161443748001</v>
      </c>
      <c r="N19" s="131">
        <f t="shared" si="3"/>
        <v>65.620435542618793</v>
      </c>
      <c r="O19" s="145">
        <f t="shared" si="4"/>
        <v>65.398298493183404</v>
      </c>
    </row>
    <row r="20" spans="1:15" ht="15.75" x14ac:dyDescent="0.25">
      <c r="A20" s="28" t="s">
        <v>18</v>
      </c>
      <c r="B20" s="49">
        <f>'fuel UCM Industrial'!D20</f>
        <v>2.3800000000000002E-2</v>
      </c>
      <c r="C20" s="49">
        <f>'fuel UCM Industrial'!E20</f>
        <v>3.1802269907667817E-2</v>
      </c>
      <c r="D20" s="49">
        <f t="shared" si="0"/>
        <v>8.0022699076678153E-3</v>
      </c>
      <c r="L20" s="49">
        <f t="shared" si="1"/>
        <v>52.841805999064775</v>
      </c>
      <c r="M20" s="130">
        <f t="shared" si="2"/>
        <v>52.96650474591123</v>
      </c>
      <c r="N20" s="130">
        <f t="shared" si="3"/>
        <v>53.410778844782008</v>
      </c>
      <c r="O20" s="140">
        <f t="shared" si="4"/>
        <v>53.188641795346619</v>
      </c>
    </row>
    <row r="21" spans="1:15" ht="15.75" x14ac:dyDescent="0.25">
      <c r="A21" s="42" t="s">
        <v>19</v>
      </c>
      <c r="B21" s="50">
        <f>'fuel UCM Industrial'!D21</f>
        <v>3.1699999999999999E-2</v>
      </c>
      <c r="C21" s="50">
        <f>'fuel UCM Industrial'!E21</f>
        <v>4.6231192660550466E-2</v>
      </c>
      <c r="D21" s="50">
        <f t="shared" si="0"/>
        <v>1.4531192660550467E-2</v>
      </c>
      <c r="L21" s="50">
        <f t="shared" si="1"/>
        <v>59.370728751947425</v>
      </c>
      <c r="M21" s="131">
        <f t="shared" si="2"/>
        <v>59.49542749879388</v>
      </c>
      <c r="N21" s="131">
        <f t="shared" si="3"/>
        <v>59.939701597664659</v>
      </c>
      <c r="O21" s="145">
        <f t="shared" si="4"/>
        <v>59.717564548229269</v>
      </c>
    </row>
    <row r="22" spans="1:15" ht="15.75" x14ac:dyDescent="0.25">
      <c r="A22" s="42" t="s">
        <v>20</v>
      </c>
      <c r="B22" s="49">
        <f>'fuel UCM Industrial'!D22</f>
        <v>3.3599999999999998E-2</v>
      </c>
      <c r="C22" s="49">
        <f>'fuel UCM Industrial'!E22</f>
        <v>3.8963302752293573E-2</v>
      </c>
      <c r="D22" s="49">
        <f t="shared" si="0"/>
        <v>5.363302752293575E-3</v>
      </c>
      <c r="L22" s="49">
        <f t="shared" si="1"/>
        <v>50.202838843690536</v>
      </c>
      <c r="M22" s="130">
        <f t="shared" si="2"/>
        <v>50.327537590536991</v>
      </c>
      <c r="N22" s="130">
        <f t="shared" si="3"/>
        <v>50.77181168940777</v>
      </c>
      <c r="O22" s="140">
        <f t="shared" si="4"/>
        <v>50.54967463997238</v>
      </c>
    </row>
    <row r="23" spans="1:15" ht="15.75" x14ac:dyDescent="0.25">
      <c r="A23" s="42" t="s">
        <v>21</v>
      </c>
      <c r="B23" s="50">
        <f>'fuel UCM Industrial'!D23</f>
        <v>3.2599999999999997E-2</v>
      </c>
      <c r="C23" s="50">
        <f>'fuel UCM Industrial'!E23</f>
        <v>4.9307339449541292E-2</v>
      </c>
      <c r="D23" s="50">
        <f t="shared" si="0"/>
        <v>1.6707339449541295E-2</v>
      </c>
      <c r="L23" s="50">
        <f t="shared" si="1"/>
        <v>61.546875540938252</v>
      </c>
      <c r="M23" s="131">
        <f t="shared" si="2"/>
        <v>61.671574287784708</v>
      </c>
      <c r="N23" s="131">
        <f t="shared" si="3"/>
        <v>62.115848386655486</v>
      </c>
      <c r="O23" s="145">
        <f t="shared" si="4"/>
        <v>61.893711337220097</v>
      </c>
    </row>
    <row r="24" spans="1:15" ht="15.75" x14ac:dyDescent="0.25">
      <c r="A24" s="42" t="s">
        <v>22</v>
      </c>
      <c r="B24" s="49">
        <f>'fuel UCM Industrial'!D24</f>
        <v>2.6100000000000002E-2</v>
      </c>
      <c r="C24" s="49">
        <f>'fuel UCM Industrial'!E24</f>
        <v>3.7861775260811747E-2</v>
      </c>
      <c r="D24" s="49">
        <f t="shared" si="0"/>
        <v>1.1761775260811746E-2</v>
      </c>
      <c r="L24" s="49">
        <f t="shared" si="1"/>
        <v>56.601311352208704</v>
      </c>
      <c r="M24" s="130">
        <f t="shared" si="2"/>
        <v>56.726010099055159</v>
      </c>
      <c r="N24" s="130">
        <f t="shared" si="3"/>
        <v>57.170284197925938</v>
      </c>
      <c r="O24" s="140">
        <f t="shared" si="4"/>
        <v>56.948147148490548</v>
      </c>
    </row>
    <row r="25" spans="1:15" ht="15.75" x14ac:dyDescent="0.25">
      <c r="A25" s="42" t="s">
        <v>23</v>
      </c>
      <c r="B25" s="50">
        <f>'fuel UCM Industrial'!D25</f>
        <v>3.6499999999999998E-2</v>
      </c>
      <c r="C25" s="50">
        <f>'fuel UCM Industrial'!E25</f>
        <v>6.6055045871559623E-2</v>
      </c>
      <c r="D25" s="50">
        <f t="shared" si="0"/>
        <v>2.9555045871559625E-2</v>
      </c>
      <c r="L25" s="50">
        <f t="shared" si="1"/>
        <v>74.394581962956579</v>
      </c>
      <c r="M25" s="131">
        <f t="shared" si="2"/>
        <v>74.519280709803027</v>
      </c>
      <c r="N25" s="131">
        <f t="shared" si="3"/>
        <v>74.96355480867382</v>
      </c>
      <c r="O25" s="145">
        <f t="shared" si="4"/>
        <v>74.741417759238431</v>
      </c>
    </row>
    <row r="26" spans="1:15" ht="15.75" x14ac:dyDescent="0.25">
      <c r="A26" s="42" t="s">
        <v>24</v>
      </c>
      <c r="B26" s="49">
        <f>'fuel UCM Industrial'!D26</f>
        <v>2.4400000000000002E-2</v>
      </c>
      <c r="C26" s="49">
        <f>'fuel UCM Industrial'!E26</f>
        <v>3.1589908256880732E-2</v>
      </c>
      <c r="D26" s="49">
        <f t="shared" si="0"/>
        <v>7.1899082568807303E-3</v>
      </c>
      <c r="L26" s="49">
        <f t="shared" si="1"/>
        <v>52.029444348277686</v>
      </c>
      <c r="M26" s="130">
        <f t="shared" si="2"/>
        <v>52.154143095124141</v>
      </c>
      <c r="N26" s="130">
        <f t="shared" si="3"/>
        <v>52.598417193994919</v>
      </c>
      <c r="O26" s="140">
        <f t="shared" si="4"/>
        <v>52.37628014455953</v>
      </c>
    </row>
    <row r="27" spans="1:15" ht="15.75" x14ac:dyDescent="0.25">
      <c r="A27" s="42" t="s">
        <v>25</v>
      </c>
      <c r="B27" s="50">
        <f>'fuel UCM Industrial'!D27</f>
        <v>2.4799999999999999E-2</v>
      </c>
      <c r="C27" s="50">
        <f>'fuel UCM Industrial'!E27</f>
        <v>3.1589908256880732E-2</v>
      </c>
      <c r="D27" s="50">
        <f t="shared" si="0"/>
        <v>6.7899082568807327E-3</v>
      </c>
      <c r="L27" s="50">
        <f t="shared" si="1"/>
        <v>51.629444348277687</v>
      </c>
      <c r="M27" s="131">
        <f t="shared" si="2"/>
        <v>51.754143095124142</v>
      </c>
      <c r="N27" s="131">
        <f t="shared" si="3"/>
        <v>52.198417193994921</v>
      </c>
      <c r="O27" s="145">
        <f t="shared" si="4"/>
        <v>51.976280144559531</v>
      </c>
    </row>
    <row r="28" spans="1:15" ht="15.75" x14ac:dyDescent="0.25">
      <c r="A28" s="42" t="s">
        <v>41</v>
      </c>
      <c r="B28" s="49">
        <f>'fuel UCM Industrial'!D28</f>
        <v>3.2300000000000002E-2</v>
      </c>
      <c r="C28" s="49">
        <f>'fuel UCM Industrial'!E28</f>
        <v>4.3999999999999997E-2</v>
      </c>
      <c r="D28" s="49">
        <f t="shared" si="0"/>
        <v>1.1699999999999995E-2</v>
      </c>
      <c r="L28" s="49">
        <f t="shared" si="1"/>
        <v>56.539536091396954</v>
      </c>
      <c r="M28" s="130">
        <f t="shared" si="2"/>
        <v>56.664234838243409</v>
      </c>
      <c r="N28" s="130">
        <f t="shared" si="3"/>
        <v>57.108508937114188</v>
      </c>
      <c r="O28" s="140">
        <f t="shared" si="4"/>
        <v>56.886371887678798</v>
      </c>
    </row>
    <row r="29" spans="1:15" ht="15.75" x14ac:dyDescent="0.25">
      <c r="A29" s="42" t="s">
        <v>27</v>
      </c>
      <c r="B29" s="50">
        <f>'fuel UCM Industrial'!D29</f>
        <v>3.32E-2</v>
      </c>
      <c r="C29" s="50">
        <f>'fuel UCM Industrial'!E29</f>
        <v>4.6231192660550466E-2</v>
      </c>
      <c r="D29" s="50">
        <f t="shared" si="0"/>
        <v>1.3031192660550465E-2</v>
      </c>
      <c r="L29" s="50">
        <f t="shared" si="1"/>
        <v>57.870728751947425</v>
      </c>
      <c r="M29" s="131">
        <f t="shared" si="2"/>
        <v>57.99542749879388</v>
      </c>
      <c r="N29" s="131">
        <f t="shared" si="3"/>
        <v>58.439701597664659</v>
      </c>
      <c r="O29" s="145">
        <f t="shared" si="4"/>
        <v>58.217564548229269</v>
      </c>
    </row>
    <row r="30" spans="1:15" ht="15.75" x14ac:dyDescent="0.25">
      <c r="A30" s="43" t="s">
        <v>28</v>
      </c>
      <c r="B30" s="112">
        <f>AVERAGE(B4:B29)</f>
        <v>2.96076923076923E-2</v>
      </c>
      <c r="C30" s="113">
        <f>AVERAGE(C4:C29)</f>
        <v>4.4666088918562649E-2</v>
      </c>
      <c r="D30" s="113">
        <f>AVERAGE(D4:D29)</f>
        <v>1.5058396610870346E-2</v>
      </c>
      <c r="L30" s="113">
        <f>AVERAGE(L4:L29)</f>
        <v>59.897932702267319</v>
      </c>
      <c r="M30" s="218">
        <f t="shared" si="2"/>
        <v>60.022631449113774</v>
      </c>
      <c r="N30" s="218">
        <f t="shared" si="3"/>
        <v>60.466905547984553</v>
      </c>
      <c r="O30" s="218">
        <f t="shared" si="3"/>
        <v>60.591604294831008</v>
      </c>
    </row>
    <row r="31" spans="1:15" x14ac:dyDescent="0.3">
      <c r="A31" s="2"/>
    </row>
    <row r="32" spans="1:15" x14ac:dyDescent="0.3">
      <c r="A32" s="4"/>
    </row>
  </sheetData>
  <mergeCells count="4">
    <mergeCell ref="B1:L2"/>
    <mergeCell ref="A1:A3"/>
    <mergeCell ref="M1:N2"/>
    <mergeCell ref="O1:O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30"/>
  <sheetViews>
    <sheetView showGridLines="0" zoomScale="60" zoomScaleNormal="60" workbookViewId="0">
      <pane xSplit="1" topLeftCell="B1" activePane="topRight" state="frozen"/>
      <selection activeCell="A5" sqref="A5"/>
      <selection pane="topRight" activeCell="B1" sqref="B1:C2"/>
    </sheetView>
  </sheetViews>
  <sheetFormatPr defaultRowHeight="18.75" x14ac:dyDescent="0.3"/>
  <cols>
    <col min="1" max="18" width="20.7109375" style="1" customWidth="1"/>
    <col min="19" max="19" width="20.7109375" style="116" customWidth="1"/>
    <col min="20" max="16384" width="9.140625" style="1"/>
  </cols>
  <sheetData>
    <row r="1" spans="1:19" s="188" customFormat="1" ht="39.950000000000003" customHeight="1" x14ac:dyDescent="0.25">
      <c r="A1" s="287"/>
      <c r="B1" s="287" t="s">
        <v>61</v>
      </c>
      <c r="C1" s="287"/>
      <c r="D1" s="287" t="s">
        <v>59</v>
      </c>
      <c r="E1" s="287"/>
      <c r="F1" s="287"/>
      <c r="G1" s="287" t="s">
        <v>60</v>
      </c>
      <c r="H1" s="287"/>
      <c r="I1" s="287" t="s">
        <v>214</v>
      </c>
      <c r="J1" s="287"/>
      <c r="K1" s="287"/>
      <c r="L1" s="287"/>
      <c r="M1" s="287"/>
      <c r="N1" s="288" t="s">
        <v>215</v>
      </c>
      <c r="O1" s="289"/>
      <c r="P1" s="289"/>
      <c r="Q1" s="289"/>
      <c r="R1" s="290"/>
      <c r="S1" s="240" t="s">
        <v>212</v>
      </c>
    </row>
    <row r="2" spans="1:19" s="188" customFormat="1" ht="39.950000000000003" customHeight="1" x14ac:dyDescent="0.25">
      <c r="A2" s="287"/>
      <c r="B2" s="287"/>
      <c r="C2" s="287"/>
      <c r="D2" s="287"/>
      <c r="E2" s="287"/>
      <c r="F2" s="287"/>
      <c r="G2" s="287"/>
      <c r="H2" s="287"/>
      <c r="I2" s="287" t="s">
        <v>61</v>
      </c>
      <c r="J2" s="287"/>
      <c r="K2" s="287" t="s">
        <v>216</v>
      </c>
      <c r="L2" s="287"/>
      <c r="M2" s="287"/>
      <c r="N2" s="287" t="s">
        <v>61</v>
      </c>
      <c r="O2" s="287"/>
      <c r="P2" s="288" t="s">
        <v>216</v>
      </c>
      <c r="Q2" s="289"/>
      <c r="R2" s="290"/>
      <c r="S2" s="240"/>
    </row>
    <row r="3" spans="1:19" s="53" customFormat="1" ht="54.75" customHeight="1" x14ac:dyDescent="0.3">
      <c r="A3" s="119" t="s">
        <v>29</v>
      </c>
      <c r="B3" s="44" t="s">
        <v>213</v>
      </c>
      <c r="C3" s="44" t="s">
        <v>90</v>
      </c>
      <c r="D3" s="44" t="s">
        <v>91</v>
      </c>
      <c r="E3" s="44" t="s">
        <v>92</v>
      </c>
      <c r="F3" s="44" t="s">
        <v>81</v>
      </c>
      <c r="G3" s="44" t="s">
        <v>87</v>
      </c>
      <c r="H3" s="44" t="s">
        <v>85</v>
      </c>
      <c r="I3" s="44" t="s">
        <v>93</v>
      </c>
      <c r="J3" s="44" t="s">
        <v>94</v>
      </c>
      <c r="K3" s="44" t="s">
        <v>95</v>
      </c>
      <c r="L3" s="44" t="s">
        <v>96</v>
      </c>
      <c r="M3" s="44" t="s">
        <v>115</v>
      </c>
      <c r="N3" s="44" t="s">
        <v>307</v>
      </c>
      <c r="O3" s="44" t="s">
        <v>308</v>
      </c>
      <c r="P3" s="44" t="s">
        <v>309</v>
      </c>
      <c r="Q3" s="44" t="s">
        <v>310</v>
      </c>
      <c r="R3" s="44" t="s">
        <v>142</v>
      </c>
      <c r="S3" s="14" t="s">
        <v>97</v>
      </c>
    </row>
    <row r="4" spans="1:19" s="115" customFormat="1" x14ac:dyDescent="0.3">
      <c r="A4" s="28" t="s">
        <v>2</v>
      </c>
      <c r="B4" s="51">
        <v>148000</v>
      </c>
      <c r="C4" s="51">
        <v>707500</v>
      </c>
      <c r="D4" s="30">
        <f>'Fuel Prices excl. VAT'!C3</f>
        <v>3.2500000000000001E-2</v>
      </c>
      <c r="E4" s="31">
        <f>'Fuel Prices excl. VAT'!G3</f>
        <v>7.3849141117371869E-2</v>
      </c>
      <c r="F4" s="31">
        <f>'Fuel Prices excl. VAT'!E3</f>
        <v>8.1600000000000006E-2</v>
      </c>
      <c r="G4" s="32">
        <f t="shared" ref="G4:G29" si="0">E4-D4</f>
        <v>4.1349141117371868E-2</v>
      </c>
      <c r="H4" s="32">
        <f t="shared" ref="H4:H29" si="1">F4-D4</f>
        <v>4.9100000000000005E-2</v>
      </c>
      <c r="I4" s="33">
        <f>Table6[[#This Row],[Oil fired boiler
(€/ΜW)]]/'Utilisation by Sector'!$AG$9</f>
        <v>1.6941391941391941</v>
      </c>
      <c r="J4" s="33">
        <f>Table6[[#This Row],[Electric boiler
(€/ΜW)]]/'Utilisation by Sector'!$AH$9</f>
        <v>8.0986721611721606</v>
      </c>
      <c r="K4" s="34">
        <f t="shared" ref="K4:K29" si="2">I4+G4*1000</f>
        <v>43.043280311511069</v>
      </c>
      <c r="L4" s="34">
        <f t="shared" ref="L4:L29" si="3">J4+H4*1000</f>
        <v>57.198672161172162</v>
      </c>
      <c r="M4" s="34">
        <f>Table6[[#This Row],[UCM
Oil fired boiler
(€/MWh)]]*'W.F. at Appliance Level'!AD4+Table6[[#This Row],[UCM
electric boiler
(€/MWh)]]*'W.F. at Appliance Level'!AE4</f>
        <v>50.120976236341619</v>
      </c>
      <c r="N4" s="33">
        <f>Table6[[#This Row],[Oil fired boiler
(€/ΜW)]]/'Utilisation by Sector'!$AG$10</f>
        <v>3.3882783882783882</v>
      </c>
      <c r="O4" s="33">
        <f>Table6[[#This Row],[Electric boiler
(€/ΜW)]]/'Utilisation by Sector'!$AH$10</f>
        <v>16.197344322344321</v>
      </c>
      <c r="P4" s="34">
        <f t="shared" ref="P4:P29" si="4">N4+G4*1000</f>
        <v>44.737419505650259</v>
      </c>
      <c r="Q4" s="34">
        <f t="shared" ref="Q4:Q29" si="5">O4+H4*1000</f>
        <v>65.297344322344316</v>
      </c>
      <c r="R4" s="34">
        <f>Table6[[#This Row],[UCM
Oil fired boiler
(€/MWh) ]]*'W.F. at Appliance Level'!AD4+Table6[[#This Row],[UCM
electric boiler
(€/MWh) ]]*'W.F. at Appliance Level'!AE4</f>
        <v>55.017381913997284</v>
      </c>
      <c r="S4" s="52">
        <f>Table6[[#This Row],[Total UCM
(€/MWh)]]*'W.F. at Subsector Level'!K4+Table6[[#This Row],[Total UCM
(€/MWh) ]]*'W.F. at Subsector Level'!L4</f>
        <v>52.569179075169451</v>
      </c>
    </row>
    <row r="5" spans="1:19" s="115" customFormat="1" x14ac:dyDescent="0.3">
      <c r="A5" s="28" t="s">
        <v>3</v>
      </c>
      <c r="B5" s="51">
        <v>144500</v>
      </c>
      <c r="C5" s="51">
        <v>689500</v>
      </c>
      <c r="D5" s="30">
        <f>'Fuel Prices excl. VAT'!C4</f>
        <v>4.1300000000000003E-2</v>
      </c>
      <c r="E5" s="31">
        <f>'Fuel Prices excl. VAT'!G4</f>
        <v>7.5828558950675334E-2</v>
      </c>
      <c r="F5" s="31">
        <f>'Fuel Prices excl. VAT'!E4</f>
        <v>6.4799999999999996E-2</v>
      </c>
      <c r="G5" s="32">
        <f t="shared" si="0"/>
        <v>3.4528558950675331E-2</v>
      </c>
      <c r="H5" s="32">
        <f t="shared" si="1"/>
        <v>2.3499999999999993E-2</v>
      </c>
      <c r="I5" s="33">
        <f>Table6[[#This Row],[Oil fired boiler
(€/ΜW)]]/'Utilisation by Sector'!$AG$9</f>
        <v>1.6540750915750915</v>
      </c>
      <c r="J5" s="33">
        <f>Table6[[#This Row],[Electric boiler
(€/ΜW)]]/'Utilisation by Sector'!$AH$9</f>
        <v>7.8926282051282053</v>
      </c>
      <c r="K5" s="34">
        <f t="shared" si="2"/>
        <v>36.182634042250427</v>
      </c>
      <c r="L5" s="34">
        <f t="shared" si="3"/>
        <v>31.392628205128197</v>
      </c>
      <c r="M5" s="34">
        <f>Table6[[#This Row],[UCM
Oil fired boiler
(€/MWh)]]*'W.F. at Appliance Level'!AD5+Table6[[#This Row],[UCM
electric boiler
(€/MWh)]]*'W.F. at Appliance Level'!AE5</f>
        <v>33.787631123689309</v>
      </c>
      <c r="N5" s="33">
        <f>Table6[[#This Row],[Oil fired boiler
(€/ΜW)]]/'Utilisation by Sector'!$AG$10</f>
        <v>3.3081501831501829</v>
      </c>
      <c r="O5" s="33">
        <f>Table6[[#This Row],[Electric boiler
(€/ΜW)]]/'Utilisation by Sector'!$AH$10</f>
        <v>15.785256410256411</v>
      </c>
      <c r="P5" s="34">
        <f t="shared" si="4"/>
        <v>37.836709133825515</v>
      </c>
      <c r="Q5" s="34">
        <f t="shared" si="5"/>
        <v>39.285256410256402</v>
      </c>
      <c r="R5" s="34">
        <f>Table6[[#This Row],[UCM
Oil fired boiler
(€/MWh) ]]*'W.F. at Appliance Level'!AD5+Table6[[#This Row],[UCM
electric boiler
(€/MWh) ]]*'W.F. at Appliance Level'!AE5</f>
        <v>38.560982772040958</v>
      </c>
      <c r="S5" s="52">
        <f>Table6[[#This Row],[Total UCM
(€/MWh)]]*'W.F. at Subsector Level'!K5+Table6[[#This Row],[Total UCM
(€/MWh) ]]*'W.F. at Subsector Level'!L5</f>
        <v>36.174306947865134</v>
      </c>
    </row>
    <row r="6" spans="1:19" s="115" customFormat="1" x14ac:dyDescent="0.3">
      <c r="A6" s="28" t="s">
        <v>4</v>
      </c>
      <c r="B6" s="51">
        <v>108500</v>
      </c>
      <c r="C6" s="51">
        <v>518500</v>
      </c>
      <c r="D6" s="30">
        <f>'Fuel Prices excl. VAT'!C5</f>
        <v>4.6300000000000001E-2</v>
      </c>
      <c r="E6" s="31">
        <f>'Fuel Prices excl. VAT'!G5</f>
        <v>7.5828558950675334E-2</v>
      </c>
      <c r="F6" s="31">
        <f>'Fuel Prices excl. VAT'!E5</f>
        <v>6.6699999999999995E-2</v>
      </c>
      <c r="G6" s="32">
        <f t="shared" si="0"/>
        <v>2.9528558950675333E-2</v>
      </c>
      <c r="H6" s="32">
        <f t="shared" si="1"/>
        <v>2.0399999999999995E-2</v>
      </c>
      <c r="I6" s="33">
        <f>Table6[[#This Row],[Oil fired boiler
(€/ΜW)]]/'Utilisation by Sector'!$AG$9</f>
        <v>1.2419871794871795</v>
      </c>
      <c r="J6" s="33">
        <f>Table6[[#This Row],[Electric boiler
(€/ΜW)]]/'Utilisation by Sector'!$AH$9</f>
        <v>5.9352106227106223</v>
      </c>
      <c r="K6" s="34">
        <f t="shared" si="2"/>
        <v>30.770546130162511</v>
      </c>
      <c r="L6" s="34">
        <f t="shared" si="3"/>
        <v>26.335210622710619</v>
      </c>
      <c r="M6" s="34">
        <f>Table6[[#This Row],[UCM
Oil fired boiler
(€/MWh)]]*'W.F. at Appliance Level'!AD6+Table6[[#This Row],[UCM
electric boiler
(€/MWh)]]*'W.F. at Appliance Level'!AE6</f>
        <v>28.552878376436567</v>
      </c>
      <c r="N6" s="33">
        <f>Table6[[#This Row],[Oil fired boiler
(€/ΜW)]]/'Utilisation by Sector'!$AG$10</f>
        <v>2.483974358974359</v>
      </c>
      <c r="O6" s="33">
        <f>Table6[[#This Row],[Electric boiler
(€/ΜW)]]/'Utilisation by Sector'!$AH$10</f>
        <v>11.870421245421245</v>
      </c>
      <c r="P6" s="34">
        <f t="shared" si="4"/>
        <v>32.01253330964969</v>
      </c>
      <c r="Q6" s="34">
        <f t="shared" si="5"/>
        <v>32.27042124542124</v>
      </c>
      <c r="R6" s="34">
        <f>Table6[[#This Row],[UCM
Oil fired boiler
(€/MWh) ]]*'W.F. at Appliance Level'!AD6+Table6[[#This Row],[UCM
electric boiler
(€/MWh) ]]*'W.F. at Appliance Level'!AE6</f>
        <v>32.141477277535465</v>
      </c>
      <c r="S6" s="52">
        <f>Table6[[#This Row],[Total UCM
(€/MWh)]]*'W.F. at Subsector Level'!K6+Table6[[#This Row],[Total UCM
(€/MWh) ]]*'W.F. at Subsector Level'!L6</f>
        <v>30.347177826986016</v>
      </c>
    </row>
    <row r="7" spans="1:19" s="115" customFormat="1" x14ac:dyDescent="0.3">
      <c r="A7" s="28" t="s">
        <v>5</v>
      </c>
      <c r="B7" s="51">
        <v>71000</v>
      </c>
      <c r="C7" s="51">
        <v>339000</v>
      </c>
      <c r="D7" s="30">
        <f>'Fuel Prices excl. VAT'!C6</f>
        <v>2.76E-2</v>
      </c>
      <c r="E7" s="31">
        <f>'Fuel Prices excl. VAT'!G6</f>
        <v>2.9700917431192662E-2</v>
      </c>
      <c r="F7" s="31">
        <f>'Fuel Prices excl. VAT'!E6</f>
        <v>8.6999999999999994E-2</v>
      </c>
      <c r="G7" s="32">
        <f t="shared" si="0"/>
        <v>2.1009174311926622E-3</v>
      </c>
      <c r="H7" s="32">
        <f t="shared" si="1"/>
        <v>5.9399999999999994E-2</v>
      </c>
      <c r="I7" s="33">
        <f>Table6[[#This Row],[Oil fired boiler
(€/ΜW)]]/'Utilisation by Sector'!$AG$9</f>
        <v>0.81272893772893773</v>
      </c>
      <c r="J7" s="33">
        <f>Table6[[#This Row],[Electric boiler
(€/ΜW)]]/'Utilisation by Sector'!$AH$9</f>
        <v>3.8804945054945055</v>
      </c>
      <c r="K7" s="34">
        <f t="shared" si="2"/>
        <v>2.9136463689215999</v>
      </c>
      <c r="L7" s="34">
        <f t="shared" si="3"/>
        <v>63.280494505494495</v>
      </c>
      <c r="M7" s="34">
        <f>Table6[[#This Row],[UCM
Oil fired boiler
(€/MWh)]]*'W.F. at Appliance Level'!AD7+Table6[[#This Row],[UCM
electric boiler
(€/MWh)]]*'W.F. at Appliance Level'!AE7</f>
        <v>33.097070437208046</v>
      </c>
      <c r="N7" s="33">
        <f>Table6[[#This Row],[Oil fired boiler
(€/ΜW)]]/'Utilisation by Sector'!$AG$10</f>
        <v>1.6254578754578755</v>
      </c>
      <c r="O7" s="33">
        <f>Table6[[#This Row],[Electric boiler
(€/ΜW)]]/'Utilisation by Sector'!$AH$10</f>
        <v>7.7609890109890109</v>
      </c>
      <c r="P7" s="34">
        <f t="shared" si="4"/>
        <v>3.7263753066505378</v>
      </c>
      <c r="Q7" s="34">
        <f t="shared" si="5"/>
        <v>67.160989010988999</v>
      </c>
      <c r="R7" s="34">
        <f>Table6[[#This Row],[UCM
Oil fired boiler
(€/MWh) ]]*'W.F. at Appliance Level'!AD7+Table6[[#This Row],[UCM
electric boiler
(€/MWh) ]]*'W.F. at Appliance Level'!AE7</f>
        <v>35.443682158819769</v>
      </c>
      <c r="S7" s="52">
        <f>Table6[[#This Row],[Total UCM
(€/MWh)]]*'W.F. at Subsector Level'!K7+Table6[[#This Row],[Total UCM
(€/MWh) ]]*'W.F. at Subsector Level'!L7</f>
        <v>34.270376298013908</v>
      </c>
    </row>
    <row r="8" spans="1:19" s="115" customFormat="1" x14ac:dyDescent="0.3">
      <c r="A8" s="28" t="s">
        <v>6</v>
      </c>
      <c r="B8" s="51">
        <v>83000</v>
      </c>
      <c r="C8" s="51">
        <v>395500</v>
      </c>
      <c r="D8" s="30">
        <f>'Fuel Prices excl. VAT'!C7</f>
        <v>2.7E-2</v>
      </c>
      <c r="E8" s="31">
        <f>'Fuel Prices excl. VAT'!G7</f>
        <v>2.9700917431192662E-2</v>
      </c>
      <c r="F8" s="31">
        <f>'Fuel Prices excl. VAT'!E7</f>
        <v>0.1179</v>
      </c>
      <c r="G8" s="32">
        <f t="shared" si="0"/>
        <v>2.700917431192662E-3</v>
      </c>
      <c r="H8" s="32">
        <f t="shared" si="1"/>
        <v>9.0900000000000009E-2</v>
      </c>
      <c r="I8" s="33">
        <f>Table6[[#This Row],[Oil fired boiler
(€/ΜW)]]/'Utilisation by Sector'!$AG$9</f>
        <v>0.95009157509157505</v>
      </c>
      <c r="J8" s="33">
        <f>Table6[[#This Row],[Electric boiler
(€/ΜW)]]/'Utilisation by Sector'!$AH$9</f>
        <v>4.5272435897435894</v>
      </c>
      <c r="K8" s="34">
        <f t="shared" si="2"/>
        <v>3.6510090062842373</v>
      </c>
      <c r="L8" s="34">
        <f t="shared" si="3"/>
        <v>95.427243589743597</v>
      </c>
      <c r="M8" s="34">
        <f>Table6[[#This Row],[UCM
Oil fired boiler
(€/MWh)]]*'W.F. at Appliance Level'!AD8+Table6[[#This Row],[UCM
electric boiler
(€/MWh)]]*'W.F. at Appliance Level'!AE8</f>
        <v>49.539126298013919</v>
      </c>
      <c r="N8" s="33">
        <f>Table6[[#This Row],[Oil fired boiler
(€/ΜW)]]/'Utilisation by Sector'!$AG$10</f>
        <v>1.9001831501831501</v>
      </c>
      <c r="O8" s="33">
        <f>Table6[[#This Row],[Electric boiler
(€/ΜW)]]/'Utilisation by Sector'!$AH$10</f>
        <v>9.0544871794871788</v>
      </c>
      <c r="P8" s="34">
        <f t="shared" si="4"/>
        <v>4.6011005813758121</v>
      </c>
      <c r="Q8" s="34">
        <f t="shared" si="5"/>
        <v>99.954487179487188</v>
      </c>
      <c r="R8" s="34">
        <f>Table6[[#This Row],[UCM
Oil fired boiler
(€/MWh) ]]*'W.F. at Appliance Level'!AD8+Table6[[#This Row],[UCM
electric boiler
(€/MWh) ]]*'W.F. at Appliance Level'!AE8</f>
        <v>52.277793880431503</v>
      </c>
      <c r="S8" s="52">
        <f>Table6[[#This Row],[Total UCM
(€/MWh)]]*'W.F. at Subsector Level'!K8+Table6[[#This Row],[Total UCM
(€/MWh) ]]*'W.F. at Subsector Level'!L8</f>
        <v>50.908460089222714</v>
      </c>
    </row>
    <row r="9" spans="1:19" s="115" customFormat="1" x14ac:dyDescent="0.3">
      <c r="A9" s="28" t="s">
        <v>7</v>
      </c>
      <c r="B9" s="51">
        <v>73500</v>
      </c>
      <c r="C9" s="51">
        <v>352000</v>
      </c>
      <c r="D9" s="30">
        <f>'Fuel Prices excl. VAT'!C8</f>
        <v>2.46E-2</v>
      </c>
      <c r="E9" s="31">
        <f>'Fuel Prices excl. VAT'!G8</f>
        <v>2.9700917431192662E-2</v>
      </c>
      <c r="F9" s="31">
        <f>'Fuel Prices excl. VAT'!E8</f>
        <v>8.3699999999999997E-2</v>
      </c>
      <c r="G9" s="32">
        <f t="shared" si="0"/>
        <v>5.1009174311926614E-3</v>
      </c>
      <c r="H9" s="32">
        <f t="shared" si="1"/>
        <v>5.91E-2</v>
      </c>
      <c r="I9" s="33">
        <f>Table6[[#This Row],[Oil fired boiler
(€/ΜW)]]/'Utilisation by Sector'!$AG$9</f>
        <v>0.84134615384615385</v>
      </c>
      <c r="J9" s="33">
        <f>Table6[[#This Row],[Electric boiler
(€/ΜW)]]/'Utilisation by Sector'!$AH$9</f>
        <v>4.0293040293040292</v>
      </c>
      <c r="K9" s="34">
        <f t="shared" si="2"/>
        <v>5.9422635850388152</v>
      </c>
      <c r="L9" s="34">
        <f t="shared" si="3"/>
        <v>63.129304029304031</v>
      </c>
      <c r="M9" s="34">
        <f>Table6[[#This Row],[UCM
Oil fired boiler
(€/MWh)]]*'W.F. at Appliance Level'!AD9+Table6[[#This Row],[UCM
electric boiler
(€/MWh)]]*'W.F. at Appliance Level'!AE9</f>
        <v>34.53578380717142</v>
      </c>
      <c r="N9" s="33">
        <f>Table6[[#This Row],[Oil fired boiler
(€/ΜW)]]/'Utilisation by Sector'!$AG$10</f>
        <v>1.6826923076923077</v>
      </c>
      <c r="O9" s="33">
        <f>Table6[[#This Row],[Electric boiler
(€/ΜW)]]/'Utilisation by Sector'!$AH$10</f>
        <v>8.0586080586080584</v>
      </c>
      <c r="P9" s="34">
        <f t="shared" si="4"/>
        <v>6.7836097388849685</v>
      </c>
      <c r="Q9" s="34">
        <f t="shared" si="5"/>
        <v>67.158608058608053</v>
      </c>
      <c r="R9" s="34">
        <f>Table6[[#This Row],[UCM
Oil fired boiler
(€/MWh) ]]*'W.F. at Appliance Level'!AD9+Table6[[#This Row],[UCM
electric boiler
(€/MWh) ]]*'W.F. at Appliance Level'!AE9</f>
        <v>36.971108898746508</v>
      </c>
      <c r="S9" s="52">
        <f>Table6[[#This Row],[Total UCM
(€/MWh)]]*'W.F. at Subsector Level'!K9+Table6[[#This Row],[Total UCM
(€/MWh) ]]*'W.F. at Subsector Level'!L9</f>
        <v>35.75344635295896</v>
      </c>
    </row>
    <row r="10" spans="1:19" s="115" customFormat="1" x14ac:dyDescent="0.3">
      <c r="A10" s="28" t="s">
        <v>8</v>
      </c>
      <c r="B10" s="51">
        <v>72500</v>
      </c>
      <c r="C10" s="51">
        <v>346000</v>
      </c>
      <c r="D10" s="30">
        <f>'Fuel Prices excl. VAT'!C9</f>
        <v>2.8299999999999999E-2</v>
      </c>
      <c r="E10" s="31">
        <f>'Fuel Prices excl. VAT'!G9</f>
        <v>4.1611926605504584E-2</v>
      </c>
      <c r="F10" s="31">
        <f>'Fuel Prices excl. VAT'!E9</f>
        <v>0.10730000000000001</v>
      </c>
      <c r="G10" s="32">
        <f t="shared" si="0"/>
        <v>1.3311926605504586E-2</v>
      </c>
      <c r="H10" s="32">
        <f t="shared" si="1"/>
        <v>7.9000000000000015E-2</v>
      </c>
      <c r="I10" s="33">
        <f>Table6[[#This Row],[Oil fired boiler
(€/ΜW)]]/'Utilisation by Sector'!$AG$9</f>
        <v>0.82989926739926745</v>
      </c>
      <c r="J10" s="33">
        <f>Table6[[#This Row],[Electric boiler
(€/ΜW)]]/'Utilisation by Sector'!$AH$9</f>
        <v>3.9606227106227108</v>
      </c>
      <c r="K10" s="34">
        <f t="shared" si="2"/>
        <v>14.141825872903853</v>
      </c>
      <c r="L10" s="34">
        <f t="shared" si="3"/>
        <v>82.960622710622729</v>
      </c>
      <c r="M10" s="34">
        <f>Table6[[#This Row],[UCM
Oil fired boiler
(€/MWh)]]*'W.F. at Appliance Level'!AD10+Table6[[#This Row],[UCM
electric boiler
(€/MWh)]]*'W.F. at Appliance Level'!AE10</f>
        <v>48.55122429176329</v>
      </c>
      <c r="N10" s="33">
        <f>Table6[[#This Row],[Oil fired boiler
(€/ΜW)]]/'Utilisation by Sector'!$AG$10</f>
        <v>1.6597985347985349</v>
      </c>
      <c r="O10" s="33">
        <f>Table6[[#This Row],[Electric boiler
(€/ΜW)]]/'Utilisation by Sector'!$AH$10</f>
        <v>7.9212454212454215</v>
      </c>
      <c r="P10" s="34">
        <f t="shared" si="4"/>
        <v>14.97172514030312</v>
      </c>
      <c r="Q10" s="34">
        <f t="shared" si="5"/>
        <v>86.92124542124543</v>
      </c>
      <c r="R10" s="34">
        <f>Table6[[#This Row],[UCM
Oil fired boiler
(€/MWh) ]]*'W.F. at Appliance Level'!AD10+Table6[[#This Row],[UCM
electric boiler
(€/MWh) ]]*'W.F. at Appliance Level'!AE10</f>
        <v>50.946485280774276</v>
      </c>
      <c r="S10" s="52">
        <f>Table6[[#This Row],[Total UCM
(€/MWh)]]*'W.F. at Subsector Level'!K10+Table6[[#This Row],[Total UCM
(€/MWh) ]]*'W.F. at Subsector Level'!L10</f>
        <v>49.74885478626878</v>
      </c>
    </row>
    <row r="11" spans="1:19" s="115" customFormat="1" x14ac:dyDescent="0.3">
      <c r="A11" s="28" t="s">
        <v>9</v>
      </c>
      <c r="B11" s="51">
        <v>79000</v>
      </c>
      <c r="C11" s="51">
        <v>376500</v>
      </c>
      <c r="D11" s="30">
        <f>'Fuel Prices excl. VAT'!C10</f>
        <v>2.7099999999999999E-2</v>
      </c>
      <c r="E11" s="31">
        <f>'Fuel Prices excl. VAT'!G10</f>
        <v>3.8847706422018347E-2</v>
      </c>
      <c r="F11" s="31">
        <f>'Fuel Prices excl. VAT'!E10</f>
        <v>0.1477</v>
      </c>
      <c r="G11" s="32">
        <f t="shared" si="0"/>
        <v>1.1747706422018347E-2</v>
      </c>
      <c r="H11" s="32">
        <f t="shared" si="1"/>
        <v>0.1206</v>
      </c>
      <c r="I11" s="33">
        <f>Table6[[#This Row],[Oil fired boiler
(€/ΜW)]]/'Utilisation by Sector'!$AG$9</f>
        <v>0.90430402930402931</v>
      </c>
      <c r="J11" s="33">
        <f>Table6[[#This Row],[Electric boiler
(€/ΜW)]]/'Utilisation by Sector'!$AH$9</f>
        <v>4.3097527472527473</v>
      </c>
      <c r="K11" s="34">
        <f t="shared" si="2"/>
        <v>12.652010451322377</v>
      </c>
      <c r="L11" s="34">
        <f t="shared" si="3"/>
        <v>124.90975274725274</v>
      </c>
      <c r="M11" s="34">
        <f>Table6[[#This Row],[UCM
Oil fired boiler
(€/MWh)]]*'W.F. at Appliance Level'!AD11+Table6[[#This Row],[UCM
electric boiler
(€/MWh)]]*'W.F. at Appliance Level'!AE11</f>
        <v>68.780881599287554</v>
      </c>
      <c r="N11" s="33">
        <f>Table6[[#This Row],[Oil fired boiler
(€/ΜW)]]/'Utilisation by Sector'!$AG$10</f>
        <v>1.8086080586080586</v>
      </c>
      <c r="O11" s="33">
        <f>Table6[[#This Row],[Electric boiler
(€/ΜW)]]/'Utilisation by Sector'!$AH$10</f>
        <v>8.6195054945054945</v>
      </c>
      <c r="P11" s="34">
        <f t="shared" si="4"/>
        <v>13.556314480626407</v>
      </c>
      <c r="Q11" s="34">
        <f t="shared" si="5"/>
        <v>129.21950549450548</v>
      </c>
      <c r="R11" s="34">
        <f>Table6[[#This Row],[UCM
Oil fired boiler
(€/MWh) ]]*'W.F. at Appliance Level'!AD11+Table6[[#This Row],[UCM
electric boiler
(€/MWh) ]]*'W.F. at Appliance Level'!AE11</f>
        <v>71.387909987565948</v>
      </c>
      <c r="S11" s="52">
        <f>Table6[[#This Row],[Total UCM
(€/MWh)]]*'W.F. at Subsector Level'!K11+Table6[[#This Row],[Total UCM
(€/MWh) ]]*'W.F. at Subsector Level'!L11</f>
        <v>70.084395793426751</v>
      </c>
    </row>
    <row r="12" spans="1:19" s="115" customFormat="1" x14ac:dyDescent="0.3">
      <c r="A12" s="28" t="s">
        <v>10</v>
      </c>
      <c r="B12" s="51">
        <v>82000</v>
      </c>
      <c r="C12" s="51">
        <v>390500</v>
      </c>
      <c r="D12" s="30">
        <f>'Fuel Prices excl. VAT'!C11</f>
        <v>2.9899999999999999E-2</v>
      </c>
      <c r="E12" s="31">
        <f>'Fuel Prices excl. VAT'!G11</f>
        <v>3.5921100917431191E-2</v>
      </c>
      <c r="F12" s="31">
        <f>'Fuel Prices excl. VAT'!E11</f>
        <v>0.1061</v>
      </c>
      <c r="G12" s="32">
        <f t="shared" si="0"/>
        <v>6.0211009174311915E-3</v>
      </c>
      <c r="H12" s="32">
        <f t="shared" si="1"/>
        <v>7.6200000000000004E-2</v>
      </c>
      <c r="I12" s="33">
        <f>Table6[[#This Row],[Oil fired boiler
(€/ΜW)]]/'Utilisation by Sector'!$AG$9</f>
        <v>0.93864468864468864</v>
      </c>
      <c r="J12" s="33">
        <f>Table6[[#This Row],[Electric boiler
(€/ΜW)]]/'Utilisation by Sector'!$AH$9</f>
        <v>4.4700091575091578</v>
      </c>
      <c r="K12" s="34">
        <f t="shared" si="2"/>
        <v>6.95974560607588</v>
      </c>
      <c r="L12" s="34">
        <f t="shared" si="3"/>
        <v>80.670009157509156</v>
      </c>
      <c r="M12" s="34">
        <f>Table6[[#This Row],[UCM
Oil fired boiler
(€/MWh)]]*'W.F. at Appliance Level'!AD12+Table6[[#This Row],[UCM
electric boiler
(€/MWh)]]*'W.F. at Appliance Level'!AE12</f>
        <v>43.81487738179252</v>
      </c>
      <c r="N12" s="33">
        <f>Table6[[#This Row],[Oil fired boiler
(€/ΜW)]]/'Utilisation by Sector'!$AG$10</f>
        <v>1.8772893772893773</v>
      </c>
      <c r="O12" s="33">
        <f>Table6[[#This Row],[Electric boiler
(€/ΜW)]]/'Utilisation by Sector'!$AH$10</f>
        <v>8.9400183150183157</v>
      </c>
      <c r="P12" s="34">
        <f t="shared" si="4"/>
        <v>7.8983902947205689</v>
      </c>
      <c r="Q12" s="34">
        <f t="shared" si="5"/>
        <v>85.140018315018324</v>
      </c>
      <c r="R12" s="34">
        <f>Table6[[#This Row],[UCM
Oil fired boiler
(€/MWh) ]]*'W.F. at Appliance Level'!AD12+Table6[[#This Row],[UCM
electric boiler
(€/MWh) ]]*'W.F. at Appliance Level'!AE12</f>
        <v>46.519204304869447</v>
      </c>
      <c r="S12" s="52">
        <f>Table6[[#This Row],[Total UCM
(€/MWh)]]*'W.F. at Subsector Level'!K12+Table6[[#This Row],[Total UCM
(€/MWh) ]]*'W.F. at Subsector Level'!L12</f>
        <v>45.16704084333098</v>
      </c>
    </row>
    <row r="13" spans="1:19" s="115" customFormat="1" x14ac:dyDescent="0.3">
      <c r="A13" s="28" t="s">
        <v>11</v>
      </c>
      <c r="B13" s="51">
        <v>59000</v>
      </c>
      <c r="C13" s="51">
        <v>282000</v>
      </c>
      <c r="D13" s="30">
        <f>'Fuel Prices excl. VAT'!C12</f>
        <v>2.7900000000000001E-2</v>
      </c>
      <c r="E13" s="31">
        <f>'Fuel Prices excl. VAT'!G12</f>
        <v>5.5047706422018346E-2</v>
      </c>
      <c r="F13" s="31">
        <f>'Fuel Prices excl. VAT'!E12</f>
        <v>0.1145</v>
      </c>
      <c r="G13" s="32">
        <f t="shared" si="0"/>
        <v>2.7147706422018344E-2</v>
      </c>
      <c r="H13" s="32">
        <f t="shared" si="1"/>
        <v>8.660000000000001E-2</v>
      </c>
      <c r="I13" s="33">
        <f>Table6[[#This Row],[Oil fired boiler
(€/ΜW)]]/'Utilisation by Sector'!$AG$9</f>
        <v>0.67536630036630041</v>
      </c>
      <c r="J13" s="33">
        <f>Table6[[#This Row],[Electric boiler
(€/ΜW)]]/'Utilisation by Sector'!$AH$9</f>
        <v>3.2280219780219781</v>
      </c>
      <c r="K13" s="34">
        <f t="shared" si="2"/>
        <v>27.823072722384644</v>
      </c>
      <c r="L13" s="34">
        <f t="shared" si="3"/>
        <v>89.82802197802198</v>
      </c>
      <c r="M13" s="34">
        <f>Table6[[#This Row],[UCM
Oil fired boiler
(€/MWh)]]*'W.F. at Appliance Level'!AD13+Table6[[#This Row],[UCM
electric boiler
(€/MWh)]]*'W.F. at Appliance Level'!AE13</f>
        <v>58.825547350203308</v>
      </c>
      <c r="N13" s="33">
        <f>Table6[[#This Row],[Oil fired boiler
(€/ΜW)]]/'Utilisation by Sector'!$AG$10</f>
        <v>1.3507326007326008</v>
      </c>
      <c r="O13" s="33">
        <f>Table6[[#This Row],[Electric boiler
(€/ΜW)]]/'Utilisation by Sector'!$AH$10</f>
        <v>6.4560439560439562</v>
      </c>
      <c r="P13" s="34">
        <f t="shared" si="4"/>
        <v>28.498439022750947</v>
      </c>
      <c r="Q13" s="34">
        <f t="shared" si="5"/>
        <v>93.056043956043965</v>
      </c>
      <c r="R13" s="34">
        <f>Table6[[#This Row],[UCM
Oil fired boiler
(€/MWh) ]]*'W.F. at Appliance Level'!AD13+Table6[[#This Row],[UCM
electric boiler
(€/MWh) ]]*'W.F. at Appliance Level'!AE13</f>
        <v>60.777241489397454</v>
      </c>
      <c r="S13" s="52">
        <f>Table6[[#This Row],[Total UCM
(€/MWh)]]*'W.F. at Subsector Level'!K13+Table6[[#This Row],[Total UCM
(€/MWh) ]]*'W.F. at Subsector Level'!L13</f>
        <v>59.801394419800381</v>
      </c>
    </row>
    <row r="14" spans="1:19" s="115" customFormat="1" x14ac:dyDescent="0.3">
      <c r="A14" s="28" t="s">
        <v>12</v>
      </c>
      <c r="B14" s="51">
        <f>B30</f>
        <v>90460</v>
      </c>
      <c r="C14" s="51">
        <f>C30</f>
        <v>432160</v>
      </c>
      <c r="D14" s="30">
        <f>'Fuel Prices excl. VAT'!C13</f>
        <v>2.46E-2</v>
      </c>
      <c r="E14" s="31">
        <f>'Fuel Prices excl. VAT'!G13</f>
        <v>4.5883940620782715E-2</v>
      </c>
      <c r="F14" s="31">
        <f>'Fuel Prices excl. VAT'!E13</f>
        <v>8.7400000000000005E-2</v>
      </c>
      <c r="G14" s="32">
        <f t="shared" si="0"/>
        <v>2.1283940620782715E-2</v>
      </c>
      <c r="H14" s="32">
        <f t="shared" si="1"/>
        <v>6.2800000000000009E-2</v>
      </c>
      <c r="I14" s="33">
        <f>Table6[[#This Row],[Oil fired boiler
(€/ΜW)]]/'Utilisation by Sector'!$AG$9</f>
        <v>1.0354853479853481</v>
      </c>
      <c r="J14" s="33">
        <f>Table6[[#This Row],[Electric boiler
(€/ΜW)]]/'Utilisation by Sector'!$AH$9</f>
        <v>4.9468864468864471</v>
      </c>
      <c r="K14" s="34">
        <f t="shared" si="2"/>
        <v>22.319425968768062</v>
      </c>
      <c r="L14" s="34">
        <f t="shared" si="3"/>
        <v>67.746886446886464</v>
      </c>
      <c r="M14" s="34">
        <f>Table6[[#This Row],[UCM
Oil fired boiler
(€/MWh)]]*'W.F. at Appliance Level'!AD14+Table6[[#This Row],[UCM
electric boiler
(€/MWh)]]*'W.F. at Appliance Level'!AE14</f>
        <v>45.033156207827261</v>
      </c>
      <c r="N14" s="33">
        <f>Table6[[#This Row],[Oil fired boiler
(€/ΜW)]]/'Utilisation by Sector'!$AG$10</f>
        <v>2.0709706959706962</v>
      </c>
      <c r="O14" s="33">
        <f>Table6[[#This Row],[Electric boiler
(€/ΜW)]]/'Utilisation by Sector'!$AH$10</f>
        <v>9.8937728937728942</v>
      </c>
      <c r="P14" s="34">
        <f t="shared" si="4"/>
        <v>23.354911316753412</v>
      </c>
      <c r="Q14" s="34">
        <f t="shared" si="5"/>
        <v>72.693772893772902</v>
      </c>
      <c r="R14" s="34">
        <f>Table6[[#This Row],[UCM
Oil fired boiler
(€/MWh) ]]*'W.F. at Appliance Level'!AD14+Table6[[#This Row],[UCM
electric boiler
(€/MWh) ]]*'W.F. at Appliance Level'!AE14</f>
        <v>48.024342105263159</v>
      </c>
      <c r="S14" s="52">
        <f>Table6[[#This Row],[Total UCM
(€/MWh)]]*'W.F. at Subsector Level'!K14+Table6[[#This Row],[Total UCM
(€/MWh) ]]*'W.F. at Subsector Level'!L14</f>
        <v>46.52874915654521</v>
      </c>
    </row>
    <row r="15" spans="1:19" s="115" customFormat="1" x14ac:dyDescent="0.3">
      <c r="A15" s="28" t="s">
        <v>13</v>
      </c>
      <c r="B15" s="51">
        <v>45500</v>
      </c>
      <c r="C15" s="51">
        <v>218000</v>
      </c>
      <c r="D15" s="30">
        <f>'Fuel Prices excl. VAT'!C14</f>
        <v>2.5499999999999998E-2</v>
      </c>
      <c r="E15" s="31">
        <f>'Fuel Prices excl. VAT'!G14</f>
        <v>3.6047366169080206E-2</v>
      </c>
      <c r="F15" s="31">
        <f>'Fuel Prices excl. VAT'!E14</f>
        <v>7.6899999999999996E-2</v>
      </c>
      <c r="G15" s="32">
        <f t="shared" si="0"/>
        <v>1.0547366169080207E-2</v>
      </c>
      <c r="H15" s="32">
        <f t="shared" si="1"/>
        <v>5.1400000000000001E-2</v>
      </c>
      <c r="I15" s="33">
        <f>Table6[[#This Row],[Oil fired boiler
(€/ΜW)]]/'Utilisation by Sector'!$AG$9</f>
        <v>0.52083333333333337</v>
      </c>
      <c r="J15" s="33">
        <f>Table6[[#This Row],[Electric boiler
(€/ΜW)]]/'Utilisation by Sector'!$AH$9</f>
        <v>2.4954212454212454</v>
      </c>
      <c r="K15" s="34">
        <f t="shared" si="2"/>
        <v>11.068199502413542</v>
      </c>
      <c r="L15" s="34">
        <f t="shared" si="3"/>
        <v>53.895421245421247</v>
      </c>
      <c r="M15" s="34">
        <f>Table6[[#This Row],[UCM
Oil fired boiler
(€/MWh)]]*'W.F. at Appliance Level'!AD15+Table6[[#This Row],[UCM
electric boiler
(€/MWh)]]*'W.F. at Appliance Level'!AE15</f>
        <v>32.481810373917398</v>
      </c>
      <c r="N15" s="33">
        <f>Table6[[#This Row],[Oil fired boiler
(€/ΜW)]]/'Utilisation by Sector'!$AG$10</f>
        <v>1.0416666666666667</v>
      </c>
      <c r="O15" s="33">
        <f>Table6[[#This Row],[Electric boiler
(€/ΜW)]]/'Utilisation by Sector'!$AH$10</f>
        <v>4.9908424908424909</v>
      </c>
      <c r="P15" s="34">
        <f t="shared" si="4"/>
        <v>11.589032835746874</v>
      </c>
      <c r="Q15" s="34">
        <f t="shared" si="5"/>
        <v>56.390842490842488</v>
      </c>
      <c r="R15" s="34">
        <f>Table6[[#This Row],[UCM
Oil fired boiler
(€/MWh) ]]*'W.F. at Appliance Level'!AD15+Table6[[#This Row],[UCM
electric boiler
(€/MWh) ]]*'W.F. at Appliance Level'!AE15</f>
        <v>33.989937663294683</v>
      </c>
      <c r="S15" s="52">
        <f>Table6[[#This Row],[Total UCM
(€/MWh)]]*'W.F. at Subsector Level'!K15+Table6[[#This Row],[Total UCM
(€/MWh) ]]*'W.F. at Subsector Level'!L15</f>
        <v>33.23587401860604</v>
      </c>
    </row>
    <row r="16" spans="1:19" s="115" customFormat="1" x14ac:dyDescent="0.3">
      <c r="A16" s="28" t="s">
        <v>14</v>
      </c>
      <c r="B16" s="51">
        <v>45000</v>
      </c>
      <c r="C16" s="51">
        <v>215000</v>
      </c>
      <c r="D16" s="30">
        <f>'Fuel Prices excl. VAT'!C15</f>
        <v>2.18E-2</v>
      </c>
      <c r="E16" s="31">
        <f>'Fuel Prices excl. VAT'!G15</f>
        <v>3.6047366169080206E-2</v>
      </c>
      <c r="F16" s="31">
        <f>'Fuel Prices excl. VAT'!E15</f>
        <v>7.6300000000000007E-2</v>
      </c>
      <c r="G16" s="32">
        <f t="shared" si="0"/>
        <v>1.4247366169080206E-2</v>
      </c>
      <c r="H16" s="32">
        <f t="shared" si="1"/>
        <v>5.4500000000000007E-2</v>
      </c>
      <c r="I16" s="33">
        <f>Table6[[#This Row],[Oil fired boiler
(€/ΜW)]]/'Utilisation by Sector'!$AG$9</f>
        <v>0.51510989010989006</v>
      </c>
      <c r="J16" s="33">
        <f>Table6[[#This Row],[Electric boiler
(€/ΜW)]]/'Utilisation by Sector'!$AH$9</f>
        <v>2.4610805860805862</v>
      </c>
      <c r="K16" s="34">
        <f t="shared" si="2"/>
        <v>14.762476059190096</v>
      </c>
      <c r="L16" s="34">
        <f t="shared" si="3"/>
        <v>56.961080586080591</v>
      </c>
      <c r="M16" s="34">
        <f>Table6[[#This Row],[UCM
Oil fired boiler
(€/MWh)]]*'W.F. at Appliance Level'!AD16+Table6[[#This Row],[UCM
electric boiler
(€/MWh)]]*'W.F. at Appliance Level'!AE16</f>
        <v>35.861778322635345</v>
      </c>
      <c r="N16" s="33">
        <f>Table6[[#This Row],[Oil fired boiler
(€/ΜW)]]/'Utilisation by Sector'!$AG$10</f>
        <v>1.0302197802197801</v>
      </c>
      <c r="O16" s="33">
        <f>Table6[[#This Row],[Electric boiler
(€/ΜW)]]/'Utilisation by Sector'!$AH$10</f>
        <v>4.9221611721611724</v>
      </c>
      <c r="P16" s="34">
        <f t="shared" si="4"/>
        <v>15.277585949299986</v>
      </c>
      <c r="Q16" s="34">
        <f t="shared" si="5"/>
        <v>59.422161172161182</v>
      </c>
      <c r="R16" s="34">
        <f>Table6[[#This Row],[UCM
Oil fired boiler
(€/MWh) ]]*'W.F. at Appliance Level'!AD16+Table6[[#This Row],[UCM
electric boiler
(€/MWh) ]]*'W.F. at Appliance Level'!AE16</f>
        <v>37.349873560730586</v>
      </c>
      <c r="S16" s="52">
        <f>Table6[[#This Row],[Total UCM
(€/MWh)]]*'W.F. at Subsector Level'!K16+Table6[[#This Row],[Total UCM
(€/MWh) ]]*'W.F. at Subsector Level'!L16</f>
        <v>36.605825941682966</v>
      </c>
    </row>
    <row r="17" spans="1:19" s="115" customFormat="1" x14ac:dyDescent="0.3">
      <c r="A17" s="28" t="s">
        <v>15</v>
      </c>
      <c r="B17" s="51">
        <v>71000</v>
      </c>
      <c r="C17" s="51">
        <v>339500</v>
      </c>
      <c r="D17" s="30">
        <f>'Fuel Prices excl. VAT'!C16</f>
        <v>2.7300000000000001E-2</v>
      </c>
      <c r="E17" s="31">
        <f>'Fuel Prices excl. VAT'!G16</f>
        <v>3.6432637488777397E-2</v>
      </c>
      <c r="F17" s="31">
        <f>'Fuel Prices excl. VAT'!E16</f>
        <v>8.77E-2</v>
      </c>
      <c r="G17" s="32">
        <f t="shared" si="0"/>
        <v>9.132637488777396E-3</v>
      </c>
      <c r="H17" s="32">
        <f t="shared" si="1"/>
        <v>6.0399999999999995E-2</v>
      </c>
      <c r="I17" s="33">
        <f>Table6[[#This Row],[Oil fired boiler
(€/ΜW)]]/'Utilisation by Sector'!$AG$9</f>
        <v>0.81272893772893773</v>
      </c>
      <c r="J17" s="33">
        <f>Table6[[#This Row],[Electric boiler
(€/ΜW)]]/'Utilisation by Sector'!$AH$9</f>
        <v>3.8862179487179489</v>
      </c>
      <c r="K17" s="34">
        <f t="shared" si="2"/>
        <v>9.9453664265063342</v>
      </c>
      <c r="L17" s="34">
        <f t="shared" si="3"/>
        <v>64.286217948717947</v>
      </c>
      <c r="M17" s="34">
        <f>Table6[[#This Row],[UCM
Oil fired boiler
(€/MWh)]]*'W.F. at Appliance Level'!AD17+Table6[[#This Row],[UCM
electric boiler
(€/MWh)]]*'W.F. at Appliance Level'!AE17</f>
        <v>37.115792187612143</v>
      </c>
      <c r="N17" s="33">
        <f>Table6[[#This Row],[Oil fired boiler
(€/ΜW)]]/'Utilisation by Sector'!$AG$10</f>
        <v>1.6254578754578755</v>
      </c>
      <c r="O17" s="33">
        <f>Table6[[#This Row],[Electric boiler
(€/ΜW)]]/'Utilisation by Sector'!$AH$10</f>
        <v>7.7724358974358978</v>
      </c>
      <c r="P17" s="34">
        <f t="shared" si="4"/>
        <v>10.758095364235272</v>
      </c>
      <c r="Q17" s="34">
        <f t="shared" si="5"/>
        <v>68.172435897435889</v>
      </c>
      <c r="R17" s="34">
        <f>Table6[[#This Row],[UCM
Oil fired boiler
(€/MWh) ]]*'W.F. at Appliance Level'!AD17+Table6[[#This Row],[UCM
electric boiler
(€/MWh) ]]*'W.F. at Appliance Level'!AE17</f>
        <v>39.465265630835582</v>
      </c>
      <c r="S17" s="52">
        <f>Table6[[#This Row],[Total UCM
(€/MWh)]]*'W.F. at Subsector Level'!K17+Table6[[#This Row],[Total UCM
(€/MWh) ]]*'W.F. at Subsector Level'!L17</f>
        <v>38.290528909223866</v>
      </c>
    </row>
    <row r="18" spans="1:19" s="115" customFormat="1" x14ac:dyDescent="0.3">
      <c r="A18" s="28" t="s">
        <v>16</v>
      </c>
      <c r="B18" s="51">
        <v>69500</v>
      </c>
      <c r="C18" s="51">
        <v>331500</v>
      </c>
      <c r="D18" s="30">
        <f>'Fuel Prices excl. VAT'!C17</f>
        <v>2.8199999999999999E-2</v>
      </c>
      <c r="E18" s="31">
        <f>'Fuel Prices excl. VAT'!G17</f>
        <v>4.612568807339449E-2</v>
      </c>
      <c r="F18" s="31">
        <f>'Fuel Prices excl. VAT'!E17</f>
        <v>0.1148</v>
      </c>
      <c r="G18" s="32">
        <f t="shared" si="0"/>
        <v>1.7925688073394491E-2</v>
      </c>
      <c r="H18" s="32">
        <f t="shared" si="1"/>
        <v>8.6599999999999996E-2</v>
      </c>
      <c r="I18" s="33">
        <f>Table6[[#This Row],[Oil fired boiler
(€/ΜW)]]/'Utilisation by Sector'!$AG$9</f>
        <v>0.79555860805860801</v>
      </c>
      <c r="J18" s="33">
        <f>Table6[[#This Row],[Electric boiler
(€/ΜW)]]/'Utilisation by Sector'!$AH$9</f>
        <v>3.7946428571428572</v>
      </c>
      <c r="K18" s="34">
        <f t="shared" si="2"/>
        <v>18.721246681453099</v>
      </c>
      <c r="L18" s="34">
        <f t="shared" si="3"/>
        <v>90.394642857142856</v>
      </c>
      <c r="M18" s="34">
        <f>Table6[[#This Row],[UCM
Oil fired boiler
(€/MWh)]]*'W.F. at Appliance Level'!AD18+Table6[[#This Row],[UCM
electric boiler
(€/MWh)]]*'W.F. at Appliance Level'!AE18</f>
        <v>54.557944769297976</v>
      </c>
      <c r="N18" s="33">
        <f>Table6[[#This Row],[Oil fired boiler
(€/ΜW)]]/'Utilisation by Sector'!$AG$10</f>
        <v>1.591117216117216</v>
      </c>
      <c r="O18" s="33">
        <f>Table6[[#This Row],[Electric boiler
(€/ΜW)]]/'Utilisation by Sector'!$AH$10</f>
        <v>7.5892857142857144</v>
      </c>
      <c r="P18" s="34">
        <f t="shared" si="4"/>
        <v>19.516805289511705</v>
      </c>
      <c r="Q18" s="34">
        <f t="shared" si="5"/>
        <v>94.189285714285703</v>
      </c>
      <c r="R18" s="34">
        <f>Table6[[#This Row],[UCM
Oil fired boiler
(€/MWh) ]]*'W.F. at Appliance Level'!AD18+Table6[[#This Row],[UCM
electric boiler
(€/MWh) ]]*'W.F. at Appliance Level'!AE18</f>
        <v>56.853045501898706</v>
      </c>
      <c r="S18" s="52">
        <f>Table6[[#This Row],[Total UCM
(€/MWh)]]*'W.F. at Subsector Level'!K18+Table6[[#This Row],[Total UCM
(€/MWh) ]]*'W.F. at Subsector Level'!L18</f>
        <v>55.705495135598341</v>
      </c>
    </row>
    <row r="19" spans="1:19" s="115" customFormat="1" x14ac:dyDescent="0.3">
      <c r="A19" s="28" t="s">
        <v>17</v>
      </c>
      <c r="B19" s="51">
        <v>75500</v>
      </c>
      <c r="C19" s="51">
        <v>362000</v>
      </c>
      <c r="D19" s="30">
        <f>'Fuel Prices excl. VAT'!C18</f>
        <v>3.09E-2</v>
      </c>
      <c r="E19" s="31">
        <f>'Fuel Prices excl. VAT'!G18</f>
        <v>5.1111926605504593E-2</v>
      </c>
      <c r="F19" s="31">
        <f>'Fuel Prices excl. VAT'!E18</f>
        <v>7.8399999999999997E-2</v>
      </c>
      <c r="G19" s="32">
        <f t="shared" si="0"/>
        <v>2.0211926605504592E-2</v>
      </c>
      <c r="H19" s="32">
        <f t="shared" si="1"/>
        <v>4.7500000000000001E-2</v>
      </c>
      <c r="I19" s="33">
        <f>Table6[[#This Row],[Oil fired boiler
(€/ΜW)]]/'Utilisation by Sector'!$AG$9</f>
        <v>0.86423992673992678</v>
      </c>
      <c r="J19" s="33">
        <f>Table6[[#This Row],[Electric boiler
(€/ΜW)]]/'Utilisation by Sector'!$AH$9</f>
        <v>4.1437728937728942</v>
      </c>
      <c r="K19" s="34">
        <f t="shared" si="2"/>
        <v>21.076166532244521</v>
      </c>
      <c r="L19" s="34">
        <f t="shared" si="3"/>
        <v>51.643772893772891</v>
      </c>
      <c r="M19" s="34">
        <f>Table6[[#This Row],[UCM
Oil fired boiler
(€/MWh)]]*'W.F. at Appliance Level'!AD19+Table6[[#This Row],[UCM
electric boiler
(€/MWh)]]*'W.F. at Appliance Level'!AE19</f>
        <v>36.359969713008709</v>
      </c>
      <c r="N19" s="33">
        <f>Table6[[#This Row],[Oil fired boiler
(€/ΜW)]]/'Utilisation by Sector'!$AG$10</f>
        <v>1.7284798534798536</v>
      </c>
      <c r="O19" s="33">
        <f>Table6[[#This Row],[Electric boiler
(€/ΜW)]]/'Utilisation by Sector'!$AH$10</f>
        <v>8.2875457875457883</v>
      </c>
      <c r="P19" s="34">
        <f t="shared" si="4"/>
        <v>21.940406458984448</v>
      </c>
      <c r="Q19" s="34">
        <f t="shared" si="5"/>
        <v>55.787545787545788</v>
      </c>
      <c r="R19" s="34">
        <f>Table6[[#This Row],[UCM
Oil fired boiler
(€/MWh) ]]*'W.F. at Appliance Level'!AD19+Table6[[#This Row],[UCM
electric boiler
(€/MWh) ]]*'W.F. at Appliance Level'!AE19</f>
        <v>38.863976123265118</v>
      </c>
      <c r="S19" s="52">
        <f>Table6[[#This Row],[Total UCM
(€/MWh)]]*'W.F. at Subsector Level'!K19+Table6[[#This Row],[Total UCM
(€/MWh) ]]*'W.F. at Subsector Level'!L19</f>
        <v>37.611972918136914</v>
      </c>
    </row>
    <row r="20" spans="1:19" s="115" customFormat="1" x14ac:dyDescent="0.3">
      <c r="A20" s="28" t="s">
        <v>18</v>
      </c>
      <c r="B20" s="51">
        <v>65500</v>
      </c>
      <c r="C20" s="51">
        <f>314000</f>
        <v>314000</v>
      </c>
      <c r="D20" s="30">
        <f>'Fuel Prices excl. VAT'!C19</f>
        <v>2.3800000000000002E-2</v>
      </c>
      <c r="E20" s="31">
        <f>'Fuel Prices excl. VAT'!G19</f>
        <v>3.1802269907667817E-2</v>
      </c>
      <c r="F20" s="31">
        <f>'Fuel Prices excl. VAT'!E19</f>
        <v>6.88E-2</v>
      </c>
      <c r="G20" s="32">
        <f t="shared" si="0"/>
        <v>8.0022699076678153E-3</v>
      </c>
      <c r="H20" s="32">
        <f t="shared" si="1"/>
        <v>4.4999999999999998E-2</v>
      </c>
      <c r="I20" s="33">
        <f>Table6[[#This Row],[Oil fired boiler
(€/ΜW)]]/'Utilisation by Sector'!$AG$9</f>
        <v>0.74977106227106227</v>
      </c>
      <c r="J20" s="33">
        <f>Table6[[#This Row],[Electric boiler
(€/ΜW)]]/'Utilisation by Sector'!$AH$9</f>
        <v>3.5943223443223444</v>
      </c>
      <c r="K20" s="34">
        <f t="shared" si="2"/>
        <v>8.7520409699388768</v>
      </c>
      <c r="L20" s="34">
        <f t="shared" si="3"/>
        <v>48.594322344322343</v>
      </c>
      <c r="M20" s="34">
        <f>Table6[[#This Row],[UCM
Oil fired boiler
(€/MWh)]]*'W.F. at Appliance Level'!AD20+Table6[[#This Row],[UCM
electric boiler
(€/MWh)]]*'W.F. at Appliance Level'!AE20</f>
        <v>28.673181657130609</v>
      </c>
      <c r="N20" s="33">
        <f>Table6[[#This Row],[Oil fired boiler
(€/ΜW)]]/'Utilisation by Sector'!$AG$10</f>
        <v>1.4995421245421245</v>
      </c>
      <c r="O20" s="33">
        <f>Table6[[#This Row],[Electric boiler
(€/ΜW)]]/'Utilisation by Sector'!$AH$10</f>
        <v>7.1886446886446889</v>
      </c>
      <c r="P20" s="34">
        <f t="shared" si="4"/>
        <v>9.5018120322099389</v>
      </c>
      <c r="Q20" s="34">
        <f t="shared" si="5"/>
        <v>52.188644688644686</v>
      </c>
      <c r="R20" s="34">
        <f>Table6[[#This Row],[UCM
Oil fired boiler
(€/MWh) ]]*'W.F. at Appliance Level'!AD20+Table6[[#This Row],[UCM
electric boiler
(€/MWh) ]]*'W.F. at Appliance Level'!AE20</f>
        <v>30.845228360427313</v>
      </c>
      <c r="S20" s="52">
        <f>Table6[[#This Row],[Total UCM
(€/MWh)]]*'W.F. at Subsector Level'!K20+Table6[[#This Row],[Total UCM
(€/MWh) ]]*'W.F. at Subsector Level'!L20</f>
        <v>29.759205008778963</v>
      </c>
    </row>
    <row r="21" spans="1:19" s="115" customFormat="1" x14ac:dyDescent="0.3">
      <c r="A21" s="28" t="s">
        <v>19</v>
      </c>
      <c r="B21" s="51">
        <v>120000</v>
      </c>
      <c r="C21" s="51">
        <v>572500</v>
      </c>
      <c r="D21" s="30">
        <f>'Fuel Prices excl. VAT'!C20</f>
        <v>3.1699999999999999E-2</v>
      </c>
      <c r="E21" s="31">
        <f>'Fuel Prices excl. VAT'!G20</f>
        <v>4.6231192660550466E-2</v>
      </c>
      <c r="F21" s="31">
        <f>'Fuel Prices excl. VAT'!E20</f>
        <v>0.15190000000000001</v>
      </c>
      <c r="G21" s="32">
        <f t="shared" si="0"/>
        <v>1.4531192660550467E-2</v>
      </c>
      <c r="H21" s="32">
        <f t="shared" si="1"/>
        <v>0.1202</v>
      </c>
      <c r="I21" s="33">
        <f>Table6[[#This Row],[Oil fired boiler
(€/ΜW)]]/'Utilisation by Sector'!$AG$9</f>
        <v>1.3736263736263736</v>
      </c>
      <c r="J21" s="33">
        <f>Table6[[#This Row],[Electric boiler
(€/ΜW)]]/'Utilisation by Sector'!$AH$9</f>
        <v>6.5533424908424909</v>
      </c>
      <c r="K21" s="34">
        <f t="shared" si="2"/>
        <v>15.904819034176841</v>
      </c>
      <c r="L21" s="34">
        <f t="shared" si="3"/>
        <v>126.7533424908425</v>
      </c>
      <c r="M21" s="34">
        <f>Table6[[#This Row],[UCM
Oil fired boiler
(€/MWh)]]*'W.F. at Appliance Level'!AD21+Table6[[#This Row],[UCM
electric boiler
(€/MWh)]]*'W.F. at Appliance Level'!AE21</f>
        <v>71.329080762509676</v>
      </c>
      <c r="N21" s="33">
        <f>Table6[[#This Row],[Oil fired boiler
(€/ΜW)]]/'Utilisation by Sector'!$AG$10</f>
        <v>2.7472527472527473</v>
      </c>
      <c r="O21" s="33">
        <f>Table6[[#This Row],[Electric boiler
(€/ΜW)]]/'Utilisation by Sector'!$AH$10</f>
        <v>13.106684981684982</v>
      </c>
      <c r="P21" s="34">
        <f t="shared" si="4"/>
        <v>17.278445407803215</v>
      </c>
      <c r="Q21" s="34">
        <f t="shared" si="5"/>
        <v>133.30668498168498</v>
      </c>
      <c r="R21" s="34">
        <f>Table6[[#This Row],[UCM
Oil fired boiler
(€/MWh) ]]*'W.F. at Appliance Level'!AD21+Table6[[#This Row],[UCM
electric boiler
(€/MWh) ]]*'W.F. at Appliance Level'!AE21</f>
        <v>75.2925651947441</v>
      </c>
      <c r="S21" s="52">
        <f>Table6[[#This Row],[Total UCM
(€/MWh)]]*'W.F. at Subsector Level'!K21+Table6[[#This Row],[Total UCM
(€/MWh) ]]*'W.F. at Subsector Level'!L21</f>
        <v>73.310822978626888</v>
      </c>
    </row>
    <row r="22" spans="1:19" s="115" customFormat="1" x14ac:dyDescent="0.3">
      <c r="A22" s="28" t="s">
        <v>20</v>
      </c>
      <c r="B22" s="51">
        <v>121000</v>
      </c>
      <c r="C22" s="51">
        <v>578000</v>
      </c>
      <c r="D22" s="30">
        <f>'Fuel Prices excl. VAT'!C21</f>
        <v>3.3599999999999998E-2</v>
      </c>
      <c r="E22" s="31">
        <f>'Fuel Prices excl. VAT'!G21</f>
        <v>3.8963302752293573E-2</v>
      </c>
      <c r="F22" s="31">
        <f>'Fuel Prices excl. VAT'!E21</f>
        <v>9.2999999999999999E-2</v>
      </c>
      <c r="G22" s="32">
        <f t="shared" si="0"/>
        <v>5.363302752293575E-3</v>
      </c>
      <c r="H22" s="32">
        <f t="shared" si="1"/>
        <v>5.9400000000000001E-2</v>
      </c>
      <c r="I22" s="33">
        <f>Table6[[#This Row],[Oil fired boiler
(€/ΜW)]]/'Utilisation by Sector'!$AG$9</f>
        <v>1.38507326007326</v>
      </c>
      <c r="J22" s="33">
        <f>Table6[[#This Row],[Electric boiler
(€/ΜW)]]/'Utilisation by Sector'!$AH$9</f>
        <v>6.6163003663003659</v>
      </c>
      <c r="K22" s="34">
        <f t="shared" si="2"/>
        <v>6.748376012366835</v>
      </c>
      <c r="L22" s="34">
        <f t="shared" si="3"/>
        <v>66.016300366300371</v>
      </c>
      <c r="M22" s="34">
        <f>Table6[[#This Row],[UCM
Oil fired boiler
(€/MWh)]]*'W.F. at Appliance Level'!AD22+Table6[[#This Row],[UCM
electric boiler
(€/MWh)]]*'W.F. at Appliance Level'!AE22</f>
        <v>36.382338189333602</v>
      </c>
      <c r="N22" s="33">
        <f>Table6[[#This Row],[Oil fired boiler
(€/ΜW)]]/'Utilisation by Sector'!$AG$10</f>
        <v>2.7701465201465201</v>
      </c>
      <c r="O22" s="33">
        <f>Table6[[#This Row],[Electric boiler
(€/ΜW)]]/'Utilisation by Sector'!$AH$10</f>
        <v>13.232600732600732</v>
      </c>
      <c r="P22" s="34">
        <f t="shared" si="4"/>
        <v>8.133449272440096</v>
      </c>
      <c r="Q22" s="34">
        <f t="shared" si="5"/>
        <v>72.632600732600736</v>
      </c>
      <c r="R22" s="34">
        <f>Table6[[#This Row],[UCM
Oil fired boiler
(€/MWh) ]]*'W.F. at Appliance Level'!AD22+Table6[[#This Row],[UCM
electric boiler
(€/MWh) ]]*'W.F. at Appliance Level'!AE22</f>
        <v>40.383025002520412</v>
      </c>
      <c r="S22" s="52">
        <f>Table6[[#This Row],[Total UCM
(€/MWh)]]*'W.F. at Subsector Level'!K22+Table6[[#This Row],[Total UCM
(€/MWh) ]]*'W.F. at Subsector Level'!L22</f>
        <v>38.382681595927011</v>
      </c>
    </row>
    <row r="23" spans="1:19" s="115" customFormat="1" x14ac:dyDescent="0.3">
      <c r="A23" s="28" t="s">
        <v>21</v>
      </c>
      <c r="B23" s="51">
        <v>118500</v>
      </c>
      <c r="C23" s="51">
        <v>567000</v>
      </c>
      <c r="D23" s="30">
        <f>'Fuel Prices excl. VAT'!C22</f>
        <v>3.2599999999999997E-2</v>
      </c>
      <c r="E23" s="31">
        <f>'Fuel Prices excl. VAT'!G22</f>
        <v>4.9307339449541292E-2</v>
      </c>
      <c r="F23" s="31">
        <f>'Fuel Prices excl. VAT'!E22</f>
        <v>9.9199999999999997E-2</v>
      </c>
      <c r="G23" s="32">
        <f t="shared" si="0"/>
        <v>1.6707339449541295E-2</v>
      </c>
      <c r="H23" s="32">
        <f t="shared" si="1"/>
        <v>6.6599999999999993E-2</v>
      </c>
      <c r="I23" s="33">
        <f>Table6[[#This Row],[Oil fired boiler
(€/ΜW)]]/'Utilisation by Sector'!$AG$9</f>
        <v>1.356456043956044</v>
      </c>
      <c r="J23" s="33">
        <f>Table6[[#This Row],[Electric boiler
(€/ΜW)]]/'Utilisation by Sector'!$AH$9</f>
        <v>6.490384615384615</v>
      </c>
      <c r="K23" s="34">
        <f t="shared" si="2"/>
        <v>18.063795493497338</v>
      </c>
      <c r="L23" s="34">
        <f t="shared" si="3"/>
        <v>73.090384615384608</v>
      </c>
      <c r="M23" s="34">
        <f>Table6[[#This Row],[UCM
Oil fired boiler
(€/MWh)]]*'W.F. at Appliance Level'!AD23+Table6[[#This Row],[UCM
electric boiler
(€/MWh)]]*'W.F. at Appliance Level'!AE23</f>
        <v>45.577090054440973</v>
      </c>
      <c r="N23" s="33">
        <f>Table6[[#This Row],[Oil fired boiler
(€/ΜW)]]/'Utilisation by Sector'!$AG$10</f>
        <v>2.712912087912088</v>
      </c>
      <c r="O23" s="33">
        <f>Table6[[#This Row],[Electric boiler
(€/ΜW)]]/'Utilisation by Sector'!$AH$10</f>
        <v>12.98076923076923</v>
      </c>
      <c r="P23" s="34">
        <f t="shared" si="4"/>
        <v>19.420251537453382</v>
      </c>
      <c r="Q23" s="34">
        <f t="shared" si="5"/>
        <v>79.580769230769221</v>
      </c>
      <c r="R23" s="34">
        <f>Table6[[#This Row],[UCM
Oil fired boiler
(€/MWh) ]]*'W.F. at Appliance Level'!AD23+Table6[[#This Row],[UCM
electric boiler
(€/MWh) ]]*'W.F. at Appliance Level'!AE23</f>
        <v>49.500510384111301</v>
      </c>
      <c r="S23" s="52">
        <f>Table6[[#This Row],[Total UCM
(€/MWh)]]*'W.F. at Subsector Level'!K23+Table6[[#This Row],[Total UCM
(€/MWh) ]]*'W.F. at Subsector Level'!L23</f>
        <v>47.538800219276141</v>
      </c>
    </row>
    <row r="24" spans="1:19" s="115" customFormat="1" x14ac:dyDescent="0.3">
      <c r="A24" s="28" t="s">
        <v>22</v>
      </c>
      <c r="B24" s="51">
        <v>61500</v>
      </c>
      <c r="C24" s="51">
        <v>295000</v>
      </c>
      <c r="D24" s="30">
        <f>'Fuel Prices excl. VAT'!C23</f>
        <v>2.6100000000000002E-2</v>
      </c>
      <c r="E24" s="31">
        <f>'Fuel Prices excl. VAT'!G23</f>
        <v>3.7861775260811747E-2</v>
      </c>
      <c r="F24" s="31">
        <f>'Fuel Prices excl. VAT'!E23</f>
        <v>7.3999999999999996E-2</v>
      </c>
      <c r="G24" s="32">
        <f t="shared" si="0"/>
        <v>1.1761775260811746E-2</v>
      </c>
      <c r="H24" s="32">
        <f t="shared" si="1"/>
        <v>4.7899999999999998E-2</v>
      </c>
      <c r="I24" s="33">
        <f>Table6[[#This Row],[Oil fired boiler
(€/ΜW)]]/'Utilisation by Sector'!$AG$9</f>
        <v>0.70398351648351654</v>
      </c>
      <c r="J24" s="33">
        <f>Table6[[#This Row],[Electric boiler
(€/ΜW)]]/'Utilisation by Sector'!$AH$9</f>
        <v>3.3768315018315018</v>
      </c>
      <c r="K24" s="34">
        <f t="shared" si="2"/>
        <v>12.465758777295262</v>
      </c>
      <c r="L24" s="34">
        <f t="shared" si="3"/>
        <v>51.276831501831502</v>
      </c>
      <c r="M24" s="34">
        <f>Table6[[#This Row],[UCM
Oil fired boiler
(€/MWh)]]*'W.F. at Appliance Level'!AD24+Table6[[#This Row],[UCM
electric boiler
(€/MWh)]]*'W.F. at Appliance Level'!AE24</f>
        <v>31.871295139563383</v>
      </c>
      <c r="N24" s="33">
        <f>Table6[[#This Row],[Oil fired boiler
(€/ΜW)]]/'Utilisation by Sector'!$AG$10</f>
        <v>1.4079670329670331</v>
      </c>
      <c r="O24" s="33">
        <f>Table6[[#This Row],[Electric boiler
(€/ΜW)]]/'Utilisation by Sector'!$AH$10</f>
        <v>6.7536630036630036</v>
      </c>
      <c r="P24" s="34">
        <f t="shared" si="4"/>
        <v>13.169742293778778</v>
      </c>
      <c r="Q24" s="34">
        <f t="shared" si="5"/>
        <v>54.653663003662999</v>
      </c>
      <c r="R24" s="34">
        <f>Table6[[#This Row],[UCM
Oil fired boiler
(€/MWh) ]]*'W.F. at Appliance Level'!AD24+Table6[[#This Row],[UCM
electric boiler
(€/MWh) ]]*'W.F. at Appliance Level'!AE24</f>
        <v>33.91170264872089</v>
      </c>
      <c r="S24" s="52">
        <f>Table6[[#This Row],[Total UCM
(€/MWh)]]*'W.F. at Subsector Level'!K24+Table6[[#This Row],[Total UCM
(€/MWh) ]]*'W.F. at Subsector Level'!L24</f>
        <v>32.891498894142138</v>
      </c>
    </row>
    <row r="25" spans="1:19" s="115" customFormat="1" x14ac:dyDescent="0.3">
      <c r="A25" s="28" t="s">
        <v>23</v>
      </c>
      <c r="B25" s="51">
        <v>128500</v>
      </c>
      <c r="C25" s="51">
        <v>613000</v>
      </c>
      <c r="D25" s="30">
        <f>'Fuel Prices excl. VAT'!C24</f>
        <v>3.6499999999999998E-2</v>
      </c>
      <c r="E25" s="31">
        <f>'Fuel Prices excl. VAT'!G24</f>
        <v>6.6055045871559623E-2</v>
      </c>
      <c r="F25" s="31">
        <f>'Fuel Prices excl. VAT'!E24</f>
        <v>8.2199999999999995E-2</v>
      </c>
      <c r="G25" s="32">
        <f t="shared" si="0"/>
        <v>2.9555045871559625E-2</v>
      </c>
      <c r="H25" s="32">
        <f t="shared" si="1"/>
        <v>4.5699999999999998E-2</v>
      </c>
      <c r="I25" s="33">
        <f>Table6[[#This Row],[Oil fired boiler
(€/ΜW)]]/'Utilisation by Sector'!$AG$9</f>
        <v>1.4709249084249085</v>
      </c>
      <c r="J25" s="33">
        <f>Table6[[#This Row],[Electric boiler
(€/ΜW)]]/'Utilisation by Sector'!$AH$9</f>
        <v>7.0169413919413923</v>
      </c>
      <c r="K25" s="34">
        <f t="shared" si="2"/>
        <v>31.025970779984533</v>
      </c>
      <c r="L25" s="34">
        <f t="shared" si="3"/>
        <v>52.71694139194139</v>
      </c>
      <c r="M25" s="34">
        <f>Table6[[#This Row],[UCM
Oil fired boiler
(€/MWh)]]*'W.F. at Appliance Level'!AD25+Table6[[#This Row],[UCM
electric boiler
(€/MWh)]]*'W.F. at Appliance Level'!AE25</f>
        <v>41.871456085962961</v>
      </c>
      <c r="N25" s="33">
        <f>Table6[[#This Row],[Oil fired boiler
(€/ΜW)]]/'Utilisation by Sector'!$AG$10</f>
        <v>2.9418498168498171</v>
      </c>
      <c r="O25" s="33">
        <f>Table6[[#This Row],[Electric boiler
(€/ΜW)]]/'Utilisation by Sector'!$AH$10</f>
        <v>14.033882783882785</v>
      </c>
      <c r="P25" s="34">
        <f t="shared" si="4"/>
        <v>32.496895688409438</v>
      </c>
      <c r="Q25" s="34">
        <f t="shared" si="5"/>
        <v>59.733882783882777</v>
      </c>
      <c r="R25" s="34">
        <f>Table6[[#This Row],[UCM
Oil fired boiler
(€/MWh) ]]*'W.F. at Appliance Level'!AD25+Table6[[#This Row],[UCM
electric boiler
(€/MWh) ]]*'W.F. at Appliance Level'!AE25</f>
        <v>46.115389236146108</v>
      </c>
      <c r="S25" s="52">
        <f>Table6[[#This Row],[Total UCM
(€/MWh)]]*'W.F. at Subsector Level'!K25+Table6[[#This Row],[Total UCM
(€/MWh) ]]*'W.F. at Subsector Level'!L25</f>
        <v>43.993422661054538</v>
      </c>
    </row>
    <row r="26" spans="1:19" s="115" customFormat="1" x14ac:dyDescent="0.3">
      <c r="A26" s="28" t="s">
        <v>24</v>
      </c>
      <c r="B26" s="51">
        <v>98500</v>
      </c>
      <c r="C26" s="51">
        <v>470500</v>
      </c>
      <c r="D26" s="30">
        <f>'Fuel Prices excl. VAT'!C25</f>
        <v>2.4400000000000002E-2</v>
      </c>
      <c r="E26" s="31">
        <f>'Fuel Prices excl. VAT'!G25</f>
        <v>3.1589908256880732E-2</v>
      </c>
      <c r="F26" s="31">
        <f>'Fuel Prices excl. VAT'!E25</f>
        <v>0.11269999999999999</v>
      </c>
      <c r="G26" s="32">
        <f t="shared" si="0"/>
        <v>7.1899082568807303E-3</v>
      </c>
      <c r="H26" s="32">
        <f t="shared" si="1"/>
        <v>8.829999999999999E-2</v>
      </c>
      <c r="I26" s="33">
        <f>Table6[[#This Row],[Oil fired boiler
(€/ΜW)]]/'Utilisation by Sector'!$AG$9</f>
        <v>1.127518315018315</v>
      </c>
      <c r="J26" s="33">
        <f>Table6[[#This Row],[Electric boiler
(€/ΜW)]]/'Utilisation by Sector'!$AH$9</f>
        <v>5.385760073260073</v>
      </c>
      <c r="K26" s="34">
        <f t="shared" si="2"/>
        <v>8.3174265718990448</v>
      </c>
      <c r="L26" s="34">
        <f t="shared" si="3"/>
        <v>93.685760073260056</v>
      </c>
      <c r="M26" s="34">
        <f>Table6[[#This Row],[UCM
Oil fired boiler
(€/MWh)]]*'W.F. at Appliance Level'!AD26+Table6[[#This Row],[UCM
electric boiler
(€/MWh)]]*'W.F. at Appliance Level'!AE26</f>
        <v>51.001593322579552</v>
      </c>
      <c r="N26" s="33">
        <f>Table6[[#This Row],[Oil fired boiler
(€/ΜW)]]/'Utilisation by Sector'!$AG$10</f>
        <v>2.25503663003663</v>
      </c>
      <c r="O26" s="33">
        <f>Table6[[#This Row],[Electric boiler
(€/ΜW)]]/'Utilisation by Sector'!$AH$10</f>
        <v>10.771520146520146</v>
      </c>
      <c r="P26" s="34">
        <f t="shared" si="4"/>
        <v>9.4449448869173604</v>
      </c>
      <c r="Q26" s="34">
        <f t="shared" si="5"/>
        <v>99.071520146520129</v>
      </c>
      <c r="R26" s="34">
        <f>Table6[[#This Row],[UCM
Oil fired boiler
(€/MWh) ]]*'W.F. at Appliance Level'!AD26+Table6[[#This Row],[UCM
electric boiler
(€/MWh) ]]*'W.F. at Appliance Level'!AE26</f>
        <v>54.258232516718742</v>
      </c>
      <c r="S26" s="52">
        <f>Table6[[#This Row],[Total UCM
(€/MWh)]]*'W.F. at Subsector Level'!K26+Table6[[#This Row],[Total UCM
(€/MWh) ]]*'W.F. at Subsector Level'!L26</f>
        <v>52.629912919649144</v>
      </c>
    </row>
    <row r="27" spans="1:19" s="115" customFormat="1" x14ac:dyDescent="0.3">
      <c r="A27" s="28" t="s">
        <v>25</v>
      </c>
      <c r="B27" s="51">
        <v>116000</v>
      </c>
      <c r="C27" s="51">
        <v>554000</v>
      </c>
      <c r="D27" s="30">
        <f>'Fuel Prices excl. VAT'!C26</f>
        <v>2.4799999999999999E-2</v>
      </c>
      <c r="E27" s="31">
        <f>'Fuel Prices excl. VAT'!G26</f>
        <v>3.1589908256880732E-2</v>
      </c>
      <c r="F27" s="31">
        <f>'Fuel Prices excl. VAT'!E26</f>
        <v>0.1268</v>
      </c>
      <c r="G27" s="32">
        <f t="shared" si="0"/>
        <v>6.7899082568807327E-3</v>
      </c>
      <c r="H27" s="32">
        <f t="shared" si="1"/>
        <v>0.10199999999999999</v>
      </c>
      <c r="I27" s="33">
        <f>Table6[[#This Row],[Oil fired boiler
(€/ΜW)]]/'Utilisation by Sector'!$AG$9</f>
        <v>1.3278388278388278</v>
      </c>
      <c r="J27" s="33">
        <f>Table6[[#This Row],[Electric boiler
(€/ΜW)]]/'Utilisation by Sector'!$AH$9</f>
        <v>6.3415750915750912</v>
      </c>
      <c r="K27" s="34">
        <f t="shared" si="2"/>
        <v>8.1177470847195607</v>
      </c>
      <c r="L27" s="34">
        <f t="shared" si="3"/>
        <v>108.34157509157509</v>
      </c>
      <c r="M27" s="34">
        <f>Table6[[#This Row],[UCM
Oil fired boiler
(€/MWh)]]*'W.F. at Appliance Level'!AD27+Table6[[#This Row],[UCM
electric boiler
(€/MWh)]]*'W.F. at Appliance Level'!AE27</f>
        <v>58.229661088147324</v>
      </c>
      <c r="N27" s="33">
        <f>Table6[[#This Row],[Oil fired boiler
(€/ΜW)]]/'Utilisation by Sector'!$AG$10</f>
        <v>2.6556776556776556</v>
      </c>
      <c r="O27" s="33">
        <f>Table6[[#This Row],[Electric boiler
(€/ΜW)]]/'Utilisation by Sector'!$AH$10</f>
        <v>12.683150183150182</v>
      </c>
      <c r="P27" s="34">
        <f t="shared" si="4"/>
        <v>9.4455859125583874</v>
      </c>
      <c r="Q27" s="34">
        <f t="shared" si="5"/>
        <v>114.68315018315019</v>
      </c>
      <c r="R27" s="34">
        <f>Table6[[#This Row],[UCM
Oil fired boiler
(€/MWh) ]]*'W.F. at Appliance Level'!AD27+Table6[[#This Row],[UCM
electric boiler
(€/MWh) ]]*'W.F. at Appliance Level'!AE27</f>
        <v>62.064368047854288</v>
      </c>
      <c r="S27" s="52">
        <f>Table6[[#This Row],[Total UCM
(€/MWh)]]*'W.F. at Subsector Level'!K27+Table6[[#This Row],[Total UCM
(€/MWh) ]]*'W.F. at Subsector Level'!L27</f>
        <v>60.147014568000806</v>
      </c>
    </row>
    <row r="28" spans="1:19" s="115" customFormat="1" x14ac:dyDescent="0.3">
      <c r="A28" s="28" t="s">
        <v>41</v>
      </c>
      <c r="B28" s="51">
        <v>102000</v>
      </c>
      <c r="C28" s="51">
        <v>487500</v>
      </c>
      <c r="D28" s="30">
        <f>'Fuel Prices excl. VAT'!C27</f>
        <v>3.2300000000000002E-2</v>
      </c>
      <c r="E28" s="31">
        <f>'Fuel Prices excl. VAT'!G27</f>
        <v>4.3999999999999997E-2</v>
      </c>
      <c r="F28" s="31">
        <f>'Fuel Prices excl. VAT'!E27</f>
        <v>7.8E-2</v>
      </c>
      <c r="G28" s="32">
        <f t="shared" si="0"/>
        <v>1.1699999999999995E-2</v>
      </c>
      <c r="H28" s="32">
        <f t="shared" si="1"/>
        <v>4.5699999999999998E-2</v>
      </c>
      <c r="I28" s="33">
        <f>Table6[[#This Row],[Oil fired boiler
(€/ΜW)]]/'Utilisation by Sector'!$AG$9</f>
        <v>1.1675824175824177</v>
      </c>
      <c r="J28" s="33">
        <f>Table6[[#This Row],[Electric boiler
(€/ΜW)]]/'Utilisation by Sector'!$AH$9</f>
        <v>5.5803571428571432</v>
      </c>
      <c r="K28" s="34">
        <f t="shared" si="2"/>
        <v>12.867582417582414</v>
      </c>
      <c r="L28" s="34">
        <f t="shared" si="3"/>
        <v>51.280357142857142</v>
      </c>
      <c r="M28" s="34">
        <f>Table6[[#This Row],[UCM
Oil fired boiler
(€/MWh)]]*'W.F. at Appliance Level'!AD28+Table6[[#This Row],[UCM
electric boiler
(€/MWh)]]*'W.F. at Appliance Level'!AE28</f>
        <v>32.073969780219777</v>
      </c>
      <c r="N28" s="33">
        <f>Table6[[#This Row],[Oil fired boiler
(€/ΜW)]]/'Utilisation by Sector'!$AG$10</f>
        <v>2.3351648351648353</v>
      </c>
      <c r="O28" s="33">
        <f>Table6[[#This Row],[Electric boiler
(€/ΜW)]]/'Utilisation by Sector'!$AH$10</f>
        <v>11.160714285714286</v>
      </c>
      <c r="P28" s="34">
        <f t="shared" si="4"/>
        <v>14.035164835164831</v>
      </c>
      <c r="Q28" s="34">
        <f t="shared" si="5"/>
        <v>56.86071428571428</v>
      </c>
      <c r="R28" s="34">
        <f>Table6[[#This Row],[UCM
Oil fired boiler
(€/MWh) ]]*'W.F. at Appliance Level'!AD28+Table6[[#This Row],[UCM
electric boiler
(€/MWh) ]]*'W.F. at Appliance Level'!AE28</f>
        <v>35.447939560439558</v>
      </c>
      <c r="S28" s="52">
        <f>Table6[[#This Row],[Total UCM
(€/MWh)]]*'W.F. at Subsector Level'!K28+Table6[[#This Row],[Total UCM
(€/MWh) ]]*'W.F. at Subsector Level'!L28</f>
        <v>33.760954670329667</v>
      </c>
    </row>
    <row r="29" spans="1:19" s="115" customFormat="1" x14ac:dyDescent="0.3">
      <c r="A29" s="28" t="s">
        <v>27</v>
      </c>
      <c r="B29" s="51">
        <v>102500</v>
      </c>
      <c r="C29" s="51">
        <v>489500</v>
      </c>
      <c r="D29" s="30">
        <f>'Fuel Prices excl. VAT'!C28</f>
        <v>3.32E-2</v>
      </c>
      <c r="E29" s="31">
        <f>'Fuel Prices excl. VAT'!G28</f>
        <v>4.6231192660550466E-2</v>
      </c>
      <c r="F29" s="31">
        <f>'Fuel Prices excl. VAT'!E28</f>
        <v>0.1237</v>
      </c>
      <c r="G29" s="32">
        <f t="shared" si="0"/>
        <v>1.3031192660550465E-2</v>
      </c>
      <c r="H29" s="32">
        <f t="shared" si="1"/>
        <v>9.0499999999999997E-2</v>
      </c>
      <c r="I29" s="33">
        <f>Table6[[#This Row],[Oil fired boiler
(€/ΜW)]]/'Utilisation by Sector'!$AG$9</f>
        <v>1.1733058608058609</v>
      </c>
      <c r="J29" s="33">
        <f>Table6[[#This Row],[Electric boiler
(€/ΜW)]]/'Utilisation by Sector'!$AH$9</f>
        <v>5.6032509157509161</v>
      </c>
      <c r="K29" s="34">
        <f t="shared" si="2"/>
        <v>14.204498521356326</v>
      </c>
      <c r="L29" s="34">
        <f t="shared" si="3"/>
        <v>96.10325091575092</v>
      </c>
      <c r="M29" s="34">
        <f>Table6[[#This Row],[UCM
Oil fired boiler
(€/MWh)]]*'W.F. at Appliance Level'!AD29+Table6[[#This Row],[UCM
electric boiler
(€/MWh)]]*'W.F. at Appliance Level'!AE29</f>
        <v>55.153874718553624</v>
      </c>
      <c r="N29" s="33">
        <f>Table6[[#This Row],[Oil fired boiler
(€/ΜW)]]/'Utilisation by Sector'!$AG$10</f>
        <v>2.3466117216117217</v>
      </c>
      <c r="O29" s="33">
        <f>Table6[[#This Row],[Electric boiler
(€/ΜW)]]/'Utilisation by Sector'!$AH$10</f>
        <v>11.206501831501832</v>
      </c>
      <c r="P29" s="34">
        <f t="shared" si="4"/>
        <v>15.377804382162186</v>
      </c>
      <c r="Q29" s="34">
        <f t="shared" si="5"/>
        <v>101.70650183150184</v>
      </c>
      <c r="R29" s="34">
        <f>Table6[[#This Row],[UCM
Oil fired boiler
(€/MWh) ]]*'W.F. at Appliance Level'!AD29+Table6[[#This Row],[UCM
electric boiler
(€/MWh) ]]*'W.F. at Appliance Level'!AE29</f>
        <v>58.542153106832011</v>
      </c>
      <c r="S29" s="52">
        <f>Table6[[#This Row],[Total UCM
(€/MWh)]]*'W.F. at Subsector Level'!K29+Table6[[#This Row],[Total UCM
(€/MWh) ]]*'W.F. at Subsector Level'!L29</f>
        <v>56.848013912692821</v>
      </c>
    </row>
    <row r="30" spans="1:19" x14ac:dyDescent="0.3">
      <c r="A30" s="55" t="s">
        <v>28</v>
      </c>
      <c r="B30" s="189">
        <f>AVERAGE(B15:B29,B4:B13)</f>
        <v>90460</v>
      </c>
      <c r="C30" s="189">
        <f>AVERAGE(C15:C29,C4:C13)</f>
        <v>432160</v>
      </c>
    </row>
  </sheetData>
  <mergeCells count="11">
    <mergeCell ref="A1:A2"/>
    <mergeCell ref="I2:J2"/>
    <mergeCell ref="I1:M1"/>
    <mergeCell ref="K2:M2"/>
    <mergeCell ref="S1:S2"/>
    <mergeCell ref="N2:O2"/>
    <mergeCell ref="P2:R2"/>
    <mergeCell ref="N1:R1"/>
    <mergeCell ref="B1:C2"/>
    <mergeCell ref="D1:F2"/>
    <mergeCell ref="G1:H2"/>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2"/>
  <sheetViews>
    <sheetView showGridLines="0" zoomScale="75" zoomScaleNormal="75" workbookViewId="0">
      <selection activeCell="A2" sqref="A2"/>
    </sheetView>
  </sheetViews>
  <sheetFormatPr defaultRowHeight="18.75" x14ac:dyDescent="0.3"/>
  <cols>
    <col min="1" max="11" width="25.7109375" style="211" customWidth="1"/>
    <col min="12" max="12" width="25.7109375" style="37" customWidth="1"/>
    <col min="13" max="13" width="25.7109375" style="211" customWidth="1"/>
    <col min="14" max="16384" width="9.140625" style="211"/>
  </cols>
  <sheetData>
    <row r="1" spans="1:12" s="206" customFormat="1" ht="120.75" customHeight="1" x14ac:dyDescent="0.3">
      <c r="A1" s="203" t="s">
        <v>29</v>
      </c>
      <c r="B1" s="194" t="s">
        <v>267</v>
      </c>
      <c r="C1" s="194" t="s">
        <v>220</v>
      </c>
      <c r="D1" s="194" t="s">
        <v>221</v>
      </c>
      <c r="E1" s="194" t="s">
        <v>222</v>
      </c>
      <c r="F1" s="194" t="s">
        <v>223</v>
      </c>
      <c r="G1" s="194" t="s">
        <v>219</v>
      </c>
      <c r="H1" s="204" t="s">
        <v>268</v>
      </c>
      <c r="I1" s="194" t="s">
        <v>224</v>
      </c>
      <c r="J1" s="194" t="s">
        <v>225</v>
      </c>
      <c r="K1" s="194" t="s">
        <v>226</v>
      </c>
      <c r="L1" s="205" t="s">
        <v>227</v>
      </c>
    </row>
    <row r="2" spans="1:12" x14ac:dyDescent="0.3">
      <c r="A2" s="207" t="s">
        <v>2</v>
      </c>
      <c r="B2" s="208">
        <v>2195400000</v>
      </c>
      <c r="C2" s="208">
        <v>0</v>
      </c>
      <c r="D2" s="208">
        <v>105.7</v>
      </c>
      <c r="E2" s="208">
        <v>253.8</v>
      </c>
      <c r="F2" s="208" t="s">
        <v>218</v>
      </c>
      <c r="G2" s="208" t="s">
        <v>218</v>
      </c>
      <c r="H2" s="208" t="s">
        <v>218</v>
      </c>
      <c r="I2" s="208">
        <f>'fuel UCM Industrial'!S4</f>
        <v>52.569179075169451</v>
      </c>
      <c r="J2" s="209" t="s">
        <v>218</v>
      </c>
      <c r="K2" s="209" t="s">
        <v>218</v>
      </c>
      <c r="L2" s="210">
        <f>Table1[[#This Row],[UCM (Fuel)
(€/MWh)]]</f>
        <v>52.569179075169451</v>
      </c>
    </row>
    <row r="3" spans="1:12" x14ac:dyDescent="0.3">
      <c r="A3" s="207" t="s">
        <v>3</v>
      </c>
      <c r="B3" s="208" t="s">
        <v>218</v>
      </c>
      <c r="C3" s="208">
        <v>97.9</v>
      </c>
      <c r="D3" s="208">
        <v>157.5</v>
      </c>
      <c r="E3" s="208">
        <v>661.3</v>
      </c>
      <c r="F3" s="208" t="s">
        <v>218</v>
      </c>
      <c r="G3" s="208" t="s">
        <v>218</v>
      </c>
      <c r="H3" s="208" t="s">
        <v>218</v>
      </c>
      <c r="I3" s="208">
        <f>'fuel UCM Industrial'!S5</f>
        <v>36.174306947865134</v>
      </c>
      <c r="J3" s="209">
        <v>0.7520663165082726</v>
      </c>
      <c r="K3" s="209">
        <v>0.2479336834917274</v>
      </c>
      <c r="L3" s="210">
        <f>Table1[[#This Row],[UCM (Fuel)
(€/MWh)]]</f>
        <v>36.174306947865134</v>
      </c>
    </row>
    <row r="4" spans="1:12" x14ac:dyDescent="0.3">
      <c r="A4" s="207" t="s">
        <v>4</v>
      </c>
      <c r="B4" s="208">
        <v>2022000000</v>
      </c>
      <c r="C4" s="208">
        <v>20.349670392662652</v>
      </c>
      <c r="D4" s="208">
        <v>18.916595012897702</v>
      </c>
      <c r="E4" s="208">
        <v>1000.5732301519059</v>
      </c>
      <c r="F4" s="208">
        <v>802.14005923378227</v>
      </c>
      <c r="G4" s="208">
        <f>(C4+D4)/((E4+F4))*B4</f>
        <v>44042715.565212809</v>
      </c>
      <c r="H4" s="208">
        <f>G4/(C4*11630)</f>
        <v>186.09598126146258</v>
      </c>
      <c r="I4" s="208">
        <f>'fuel UCM Industrial'!S6</f>
        <v>30.347177826986016</v>
      </c>
      <c r="J4" s="209">
        <v>0.94482022071911709</v>
      </c>
      <c r="K4" s="209">
        <v>5.5179779280882912E-2</v>
      </c>
      <c r="L4" s="210">
        <f>Table1[[#This Row],[UCM (Feedstock)
(€/MWh)]]*Table1[[#This Row],[Weighting factor for Feedstock
(%)]]+Table1[[#This Row],[UCM (Fuel)
(€/MWh)]]*Table1[[#This Row],[Weighting factor for Fuel
(%)]]</f>
        <v>38.941362423762051</v>
      </c>
    </row>
    <row r="5" spans="1:12" x14ac:dyDescent="0.3">
      <c r="A5" s="207" t="s">
        <v>5</v>
      </c>
      <c r="B5" s="208">
        <v>101500000</v>
      </c>
      <c r="C5" s="208">
        <v>0</v>
      </c>
      <c r="D5" s="208">
        <v>3.3</v>
      </c>
      <c r="E5" s="208">
        <v>42.1</v>
      </c>
      <c r="F5" s="208" t="s">
        <v>218</v>
      </c>
      <c r="G5" s="208" t="s">
        <v>218</v>
      </c>
      <c r="H5" s="208" t="s">
        <v>218</v>
      </c>
      <c r="I5" s="208">
        <f>'fuel UCM Industrial'!S7</f>
        <v>34.270376298013908</v>
      </c>
      <c r="J5" s="209" t="s">
        <v>218</v>
      </c>
      <c r="K5" s="209" t="s">
        <v>218</v>
      </c>
      <c r="L5" s="210">
        <f>Table1[[#This Row],[UCM (Fuel)
(€/MWh)]]</f>
        <v>34.270376298013908</v>
      </c>
    </row>
    <row r="6" spans="1:12" x14ac:dyDescent="0.3">
      <c r="A6" s="207" t="s">
        <v>6</v>
      </c>
      <c r="B6" s="208">
        <v>61300000</v>
      </c>
      <c r="C6" s="208">
        <v>0</v>
      </c>
      <c r="D6" s="208">
        <v>7.7</v>
      </c>
      <c r="E6" s="208">
        <v>23.3</v>
      </c>
      <c r="F6" s="208" t="s">
        <v>218</v>
      </c>
      <c r="G6" s="208" t="s">
        <v>218</v>
      </c>
      <c r="H6" s="208" t="s">
        <v>218</v>
      </c>
      <c r="I6" s="208">
        <f>'fuel UCM Industrial'!S8</f>
        <v>50.908460089222714</v>
      </c>
      <c r="J6" s="209" t="s">
        <v>218</v>
      </c>
      <c r="K6" s="209" t="s">
        <v>218</v>
      </c>
      <c r="L6" s="210">
        <f>Table1[[#This Row],[UCM (Fuel)
(€/MWh)]]</f>
        <v>50.908460089222714</v>
      </c>
    </row>
    <row r="7" spans="1:12" x14ac:dyDescent="0.3">
      <c r="A7" s="207" t="s">
        <v>7</v>
      </c>
      <c r="B7" s="208">
        <v>527900000</v>
      </c>
      <c r="C7" s="208">
        <v>941.81713958154194</v>
      </c>
      <c r="D7" s="208">
        <v>131.10251265883252</v>
      </c>
      <c r="E7" s="208">
        <v>358.22107576191837</v>
      </c>
      <c r="F7" s="208">
        <v>1006.7832234642208</v>
      </c>
      <c r="G7" s="208">
        <f>(C7+D7)/((E7+F7))*B7</f>
        <v>414939560.80489939</v>
      </c>
      <c r="H7" s="208">
        <f>G7/(C7*11630)</f>
        <v>37.882491856807619</v>
      </c>
      <c r="I7" s="208">
        <f>'fuel UCM Industrial'!S9</f>
        <v>35.75344635295896</v>
      </c>
      <c r="J7" s="209">
        <v>0.25495429360485194</v>
      </c>
      <c r="K7" s="209">
        <v>0.74504570639514811</v>
      </c>
      <c r="L7" s="210">
        <f>Table1[[#This Row],[UCM (Feedstock)
(€/MWh)]]*Table1[[#This Row],[Weighting factor for Feedstock
(%)]]+Table1[[#This Row],[UCM (Fuel)
(€/MWh)]]*Table1[[#This Row],[Weighting factor for Fuel
(%)]]</f>
        <v>37.339682564321301</v>
      </c>
    </row>
    <row r="8" spans="1:12" x14ac:dyDescent="0.3">
      <c r="A8" s="207" t="s">
        <v>8</v>
      </c>
      <c r="B8" s="208">
        <v>1031400000.0000001</v>
      </c>
      <c r="C8" s="208">
        <v>347.78351007929683</v>
      </c>
      <c r="D8" s="208">
        <v>41.511416833858789</v>
      </c>
      <c r="E8" s="208">
        <v>222.2222222222222</v>
      </c>
      <c r="F8" s="208">
        <v>487.67555173402121</v>
      </c>
      <c r="G8" s="208">
        <f>(C8+D8)/((E8+F8))*B8</f>
        <v>565600854.58582878</v>
      </c>
      <c r="H8" s="208">
        <f>G8/(C8*11630)</f>
        <v>139.83676097170411</v>
      </c>
      <c r="I8" s="208">
        <f>'fuel UCM Industrial'!S10</f>
        <v>49.74885478626878</v>
      </c>
      <c r="J8" s="209">
        <v>0.79017752515322248</v>
      </c>
      <c r="K8" s="209">
        <v>0.20982247484677752</v>
      </c>
      <c r="L8" s="210">
        <f>Table1[[#This Row],[UCM (Feedstock)
(€/MWh)]]*Table1[[#This Row],[Weighting factor for Feedstock
(%)]]+Table1[[#This Row],[UCM (Fuel)
(€/MWh)]]*Table1[[#This Row],[Weighting factor for Fuel
(%)]]</f>
        <v>68.651322215861128</v>
      </c>
    </row>
    <row r="9" spans="1:12" x14ac:dyDescent="0.3">
      <c r="A9" s="207" t="s">
        <v>9</v>
      </c>
      <c r="B9" s="208">
        <v>10887100000</v>
      </c>
      <c r="C9" s="208">
        <v>572.51361421610773</v>
      </c>
      <c r="D9" s="208">
        <v>935.8221075761918</v>
      </c>
      <c r="E9" s="208">
        <v>3292.0129932167765</v>
      </c>
      <c r="F9" s="208">
        <v>4031.0021973822486</v>
      </c>
      <c r="G9" s="208">
        <f>(C9+D9)/((E9+F9))*B9</f>
        <v>2242437221.4611869</v>
      </c>
      <c r="H9" s="208">
        <f>G9/(C9*11630)</f>
        <v>336.78656642721205</v>
      </c>
      <c r="I9" s="208">
        <f>'fuel UCM Industrial'!S11</f>
        <v>70.084395793426751</v>
      </c>
      <c r="J9" s="209">
        <v>0.9276081218008756</v>
      </c>
      <c r="K9" s="209">
        <v>7.2391878199124404E-2</v>
      </c>
      <c r="L9" s="210">
        <f>Table1[[#This Row],[UCM (Feedstock)
(€/MWh)]]*Table1[[#This Row],[Weighting factor for Feedstock
(%)]]+Table1[[#This Row],[UCM (Fuel)
(€/MWh)]]*Table1[[#This Row],[Weighting factor for Fuel
(%)]]</f>
        <v>89.391466845389829</v>
      </c>
    </row>
    <row r="10" spans="1:12" x14ac:dyDescent="0.3">
      <c r="A10" s="207" t="s">
        <v>10</v>
      </c>
      <c r="B10" s="208">
        <v>11108000000</v>
      </c>
      <c r="C10" s="208">
        <v>436.39533772809779</v>
      </c>
      <c r="D10" s="208">
        <v>1677.5102703735549</v>
      </c>
      <c r="E10" s="208">
        <v>2819.2414254323107</v>
      </c>
      <c r="F10" s="208">
        <v>2912.0569408617557</v>
      </c>
      <c r="G10" s="208">
        <f>(C10+D10)/((E10+F10))*B10</f>
        <v>4097023395.7609258</v>
      </c>
      <c r="H10" s="208">
        <f>G10/(C10*11630)</f>
        <v>807.25106588250969</v>
      </c>
      <c r="I10" s="208">
        <f>'fuel UCM Industrial'!S12</f>
        <v>45.16704084333098</v>
      </c>
      <c r="J10" s="209">
        <v>0.93620016507209236</v>
      </c>
      <c r="K10" s="209">
        <v>6.3799834927907639E-2</v>
      </c>
      <c r="L10" s="210">
        <f>Table1[[#This Row],[UCM (Feedstock)
(€/MWh)]]*Table1[[#This Row],[Weighting factor for Feedstock
(%)]]+Table1[[#This Row],[UCM (Fuel)
(€/MWh)]]*Table1[[#This Row],[Weighting factor for Fuel
(%)]]</f>
        <v>93.787875842026011</v>
      </c>
    </row>
    <row r="11" spans="1:12" x14ac:dyDescent="0.3">
      <c r="A11" s="207" t="s">
        <v>11</v>
      </c>
      <c r="B11" s="208">
        <v>878700000</v>
      </c>
      <c r="C11" s="208">
        <v>0</v>
      </c>
      <c r="D11" s="208">
        <v>152.80000000000001</v>
      </c>
      <c r="E11" s="208">
        <v>380.1</v>
      </c>
      <c r="F11" s="208" t="s">
        <v>218</v>
      </c>
      <c r="G11" s="208" t="s">
        <v>218</v>
      </c>
      <c r="H11" s="208" t="s">
        <v>218</v>
      </c>
      <c r="I11" s="208">
        <f>'fuel UCM Industrial'!S13</f>
        <v>59.801394419800381</v>
      </c>
      <c r="J11" s="209" t="s">
        <v>218</v>
      </c>
      <c r="K11" s="209" t="s">
        <v>218</v>
      </c>
      <c r="L11" s="210">
        <f>Table1[[#This Row],[UCM (Fuel)
(€/MWh)]]</f>
        <v>59.801394419800381</v>
      </c>
    </row>
    <row r="12" spans="1:12" x14ac:dyDescent="0.3">
      <c r="A12" s="207" t="s">
        <v>12</v>
      </c>
      <c r="B12" s="208">
        <v>178100000</v>
      </c>
      <c r="C12" s="208">
        <v>409.57294353683</v>
      </c>
      <c r="D12" s="208">
        <v>105.78484761631795</v>
      </c>
      <c r="E12" s="208">
        <v>151.38052928250693</v>
      </c>
      <c r="F12" s="208">
        <v>413.5616700105092</v>
      </c>
      <c r="G12" s="208">
        <f t="shared" ref="G12:G25" si="0">(C12+D12)/((E12+F12))*B12</f>
        <v>162468342.28216293</v>
      </c>
      <c r="H12" s="208">
        <f t="shared" ref="H12:H25" si="1">G12/(C12*11630)</f>
        <v>34.108119443421195</v>
      </c>
      <c r="I12" s="208">
        <f>'fuel UCM Industrial'!S14</f>
        <v>46.52874915654521</v>
      </c>
      <c r="J12" s="209">
        <v>0.48491437890731182</v>
      </c>
      <c r="K12" s="209">
        <v>0.51508562109268818</v>
      </c>
      <c r="L12" s="210">
        <f>Table1[[#This Row],[UCM (Feedstock)
(€/MWh)]]*Table1[[#This Row],[Weighting factor for Feedstock
(%)]]+Table1[[#This Row],[UCM (Fuel)
(€/MWh)]]*Table1[[#This Row],[Weighting factor for Fuel
(%)]]</f>
        <v>40.131061386398429</v>
      </c>
    </row>
    <row r="13" spans="1:12" x14ac:dyDescent="0.3">
      <c r="A13" s="207" t="s">
        <v>13</v>
      </c>
      <c r="B13" s="208">
        <v>1184900000</v>
      </c>
      <c r="C13" s="208">
        <v>333.69160217827454</v>
      </c>
      <c r="D13" s="208">
        <v>587.84752077959297</v>
      </c>
      <c r="E13" s="208">
        <v>1418.6252030190121</v>
      </c>
      <c r="F13" s="208">
        <v>354.85334861947069</v>
      </c>
      <c r="G13" s="208">
        <f t="shared" si="0"/>
        <v>615700542.74632335</v>
      </c>
      <c r="H13" s="208">
        <f t="shared" si="1"/>
        <v>158.65163223010265</v>
      </c>
      <c r="I13" s="208">
        <f>'fuel UCM Industrial'!S15</f>
        <v>33.23587401860604</v>
      </c>
      <c r="J13" s="209">
        <v>0.88325449332656569</v>
      </c>
      <c r="K13" s="209">
        <v>0.11674550667343431</v>
      </c>
      <c r="L13" s="210">
        <f>Table1[[#This Row],[UCM (Feedstock)
(€/MWh)]]*Table1[[#This Row],[Weighting factor for Feedstock
(%)]]+Table1[[#This Row],[UCM (Fuel)
(€/MWh)]]*Table1[[#This Row],[Weighting factor for Fuel
(%)]]</f>
        <v>47.877600255840143</v>
      </c>
    </row>
    <row r="14" spans="1:12" x14ac:dyDescent="0.3">
      <c r="A14" s="207" t="s">
        <v>14</v>
      </c>
      <c r="B14" s="208">
        <v>396800000</v>
      </c>
      <c r="C14" s="208">
        <v>272.23655297601988</v>
      </c>
      <c r="D14" s="208">
        <v>319.24142543231108</v>
      </c>
      <c r="E14" s="208">
        <v>873.84159740135658</v>
      </c>
      <c r="F14" s="208">
        <v>310.7862806916977</v>
      </c>
      <c r="G14" s="208">
        <f t="shared" si="0"/>
        <v>198119988.70922217</v>
      </c>
      <c r="H14" s="208">
        <f t="shared" si="1"/>
        <v>62.575185063449716</v>
      </c>
      <c r="I14" s="208">
        <f>'fuel UCM Industrial'!S16</f>
        <v>36.605825941682966</v>
      </c>
      <c r="J14" s="209">
        <v>0.76154992548435174</v>
      </c>
      <c r="K14" s="209">
        <v>0.23845007451564826</v>
      </c>
      <c r="L14" s="210">
        <f>Table1[[#This Row],[UCM (Feedstock)
(€/MWh)]]*Table1[[#This Row],[Weighting factor for Feedstock
(%)]]+Table1[[#This Row],[UCM (Fuel)
(€/MWh)]]*Table1[[#This Row],[Weighting factor for Fuel
(%)]]</f>
        <v>42.798221559391877</v>
      </c>
    </row>
    <row r="15" spans="1:12" x14ac:dyDescent="0.3">
      <c r="A15" s="207" t="s">
        <v>15</v>
      </c>
      <c r="B15" s="208">
        <v>4046000000</v>
      </c>
      <c r="C15" s="208">
        <v>2117.2255660647747</v>
      </c>
      <c r="D15" s="208">
        <v>354.92500238845895</v>
      </c>
      <c r="E15" s="208">
        <v>2550.3009458297506</v>
      </c>
      <c r="F15" s="208">
        <v>3894.7167287665998</v>
      </c>
      <c r="G15" s="208">
        <f t="shared" si="0"/>
        <v>1551946279.276608</v>
      </c>
      <c r="H15" s="208">
        <f t="shared" si="1"/>
        <v>63.027464976713482</v>
      </c>
      <c r="I15" s="208">
        <f>'fuel UCM Industrial'!S17</f>
        <v>38.290528909223866</v>
      </c>
      <c r="J15" s="209">
        <v>0.61800169802295779</v>
      </c>
      <c r="K15" s="209">
        <v>0.38199830197704221</v>
      </c>
      <c r="L15" s="210">
        <f>Table1[[#This Row],[UCM (Feedstock)
(€/MWh)]]*Table1[[#This Row],[Weighting factor for Feedstock
(%)]]+Table1[[#This Row],[UCM (Fuel)
(€/MWh)]]*Table1[[#This Row],[Weighting factor for Fuel
(%)]]</f>
        <v>47.739996483119555</v>
      </c>
    </row>
    <row r="16" spans="1:12" x14ac:dyDescent="0.3">
      <c r="A16" s="207" t="s">
        <v>16</v>
      </c>
      <c r="B16" s="208">
        <v>542100000</v>
      </c>
      <c r="C16" s="208">
        <v>385.97496895003343</v>
      </c>
      <c r="D16" s="208">
        <v>103.89796503296073</v>
      </c>
      <c r="E16" s="208">
        <v>352.39323588420751</v>
      </c>
      <c r="F16" s="208">
        <v>781.57542753415487</v>
      </c>
      <c r="G16" s="208">
        <f t="shared" si="0"/>
        <v>234186469.23773617</v>
      </c>
      <c r="H16" s="208">
        <f t="shared" si="1"/>
        <v>52.17025304801053</v>
      </c>
      <c r="I16" s="208">
        <f>'fuel UCM Industrial'!S18</f>
        <v>55.705495135598341</v>
      </c>
      <c r="J16" s="209">
        <v>0.69873301080104888</v>
      </c>
      <c r="K16" s="209">
        <v>0.30126698919895112</v>
      </c>
      <c r="L16" s="210">
        <f>Table1[[#This Row],[UCM (Feedstock)
(€/MWh)]]*Table1[[#This Row],[Weighting factor for Feedstock
(%)]]+Table1[[#This Row],[UCM (Fuel)
(€/MWh)]]*Table1[[#This Row],[Weighting factor for Fuel
(%)]]</f>
        <v>54.640443395781347</v>
      </c>
    </row>
    <row r="17" spans="1:12" x14ac:dyDescent="0.3">
      <c r="A17" s="207" t="s">
        <v>17</v>
      </c>
      <c r="B17" s="208">
        <v>399600000</v>
      </c>
      <c r="C17" s="208">
        <v>5.039648418840164</v>
      </c>
      <c r="D17" s="208">
        <v>46.240565587083211</v>
      </c>
      <c r="E17" s="208">
        <v>159.83567402312028</v>
      </c>
      <c r="F17" s="208">
        <v>9.2911053788095916</v>
      </c>
      <c r="G17" s="208">
        <f t="shared" si="0"/>
        <v>121161022.45445558</v>
      </c>
      <c r="H17" s="208">
        <f t="shared" si="1"/>
        <v>2067.2022788437921</v>
      </c>
      <c r="I17" s="208">
        <f>'fuel UCM Industrial'!S19</f>
        <v>37.611972918136914</v>
      </c>
      <c r="J17" s="209">
        <v>0.98700720572427347</v>
      </c>
      <c r="K17" s="209">
        <v>1.2992794275726527E-2</v>
      </c>
      <c r="L17" s="210">
        <f>Table1[[#This Row],[UCM (Feedstock)
(€/MWh)]]*Table1[[#This Row],[Weighting factor for Feedstock
(%)]]+Table1[[#This Row],[UCM (Fuel)
(€/MWh)]]*Table1[[#This Row],[Weighting factor for Fuel
(%)]]</f>
        <v>63.982022227037817</v>
      </c>
    </row>
    <row r="18" spans="1:12" x14ac:dyDescent="0.3">
      <c r="A18" s="207" t="s">
        <v>18</v>
      </c>
      <c r="B18" s="208">
        <v>1469800000</v>
      </c>
      <c r="C18" s="208">
        <v>95.920512085602368</v>
      </c>
      <c r="D18" s="208">
        <v>272.88143689691412</v>
      </c>
      <c r="E18" s="208">
        <v>1096.4698576478456</v>
      </c>
      <c r="F18" s="208">
        <v>1609.7019203210089</v>
      </c>
      <c r="G18" s="208">
        <f t="shared" si="0"/>
        <v>200306983.10709432</v>
      </c>
      <c r="H18" s="208">
        <f t="shared" si="1"/>
        <v>179.55805258604073</v>
      </c>
      <c r="I18" s="208">
        <f>'fuel UCM Industrial'!S20</f>
        <v>29.759205008778963</v>
      </c>
      <c r="J18" s="209">
        <v>0.95272314674735259</v>
      </c>
      <c r="K18" s="209">
        <v>4.7276853252647411E-2</v>
      </c>
      <c r="L18" s="210">
        <f>Table1[[#This Row],[UCM (Feedstock)
(€/MWh)]]*Table1[[#This Row],[Weighting factor for Feedstock
(%)]]+Table1[[#This Row],[UCM (Fuel)
(€/MWh)]]*Table1[[#This Row],[Weighting factor for Fuel
(%)]]</f>
        <v>36.841223143104862</v>
      </c>
    </row>
    <row r="19" spans="1:12" x14ac:dyDescent="0.3">
      <c r="A19" s="207" t="s">
        <v>19</v>
      </c>
      <c r="B19" s="208">
        <v>46994000000</v>
      </c>
      <c r="C19" s="208">
        <v>2372.1457915353012</v>
      </c>
      <c r="D19" s="208">
        <v>4891.1340403171871</v>
      </c>
      <c r="E19" s="208">
        <v>14717.182573803382</v>
      </c>
      <c r="F19" s="208">
        <v>17192.724753988725</v>
      </c>
      <c r="G19" s="208">
        <f t="shared" si="0"/>
        <v>10696695822.766998</v>
      </c>
      <c r="H19" s="208">
        <f t="shared" si="1"/>
        <v>387.72924033107324</v>
      </c>
      <c r="I19" s="208">
        <f>'fuel UCM Industrial'!S21</f>
        <v>73.310822978626888</v>
      </c>
      <c r="J19" s="209">
        <v>0.88137950124184716</v>
      </c>
      <c r="K19" s="209">
        <v>0.11862049875815284</v>
      </c>
      <c r="L19" s="210">
        <f>Table1[[#This Row],[UCM (Feedstock)
(€/MWh)]]*Table1[[#This Row],[Weighting factor for Feedstock
(%)]]+Table1[[#This Row],[UCM (Fuel)
(€/MWh)]]*Table1[[#This Row],[Weighting factor for Fuel
(%)]]</f>
        <v>110.60729246372313</v>
      </c>
    </row>
    <row r="20" spans="1:12" x14ac:dyDescent="0.3">
      <c r="A20" s="207" t="s">
        <v>20</v>
      </c>
      <c r="B20" s="208">
        <v>2790200000</v>
      </c>
      <c r="C20" s="208">
        <v>320.57896245342505</v>
      </c>
      <c r="D20" s="208">
        <v>423.56931307920127</v>
      </c>
      <c r="E20" s="208">
        <v>1001.2181140728002</v>
      </c>
      <c r="F20" s="208">
        <v>1443.9667526511894</v>
      </c>
      <c r="G20" s="208">
        <f t="shared" si="0"/>
        <v>849147459.8290596</v>
      </c>
      <c r="H20" s="208">
        <f t="shared" si="1"/>
        <v>227.75524179590332</v>
      </c>
      <c r="I20" s="208">
        <f>'fuel UCM Industrial'!S22</f>
        <v>38.382681595927011</v>
      </c>
      <c r="J20" s="209">
        <v>0.88998073846756554</v>
      </c>
      <c r="K20" s="209">
        <v>0.11001926153243446</v>
      </c>
      <c r="L20" s="210">
        <f>Table1[[#This Row],[UCM (Feedstock)
(€/MWh)]]*Table1[[#This Row],[Weighting factor for Feedstock
(%)]]+Table1[[#This Row],[UCM (Fuel)
(€/MWh)]]*Table1[[#This Row],[Weighting factor for Fuel
(%)]]</f>
        <v>59.21731082363489</v>
      </c>
    </row>
    <row r="21" spans="1:12" x14ac:dyDescent="0.3">
      <c r="A21" s="207" t="s">
        <v>21</v>
      </c>
      <c r="B21" s="208">
        <v>18115000000</v>
      </c>
      <c r="C21" s="208">
        <v>549.15448552593864</v>
      </c>
      <c r="D21" s="208">
        <v>2975.5899493646698</v>
      </c>
      <c r="E21" s="208">
        <v>5376.397248495271</v>
      </c>
      <c r="F21" s="208">
        <v>9843.2693226330375</v>
      </c>
      <c r="G21" s="208">
        <f t="shared" si="0"/>
        <v>4195278861.0473347</v>
      </c>
      <c r="H21" s="208">
        <f t="shared" si="1"/>
        <v>656.8808237548019</v>
      </c>
      <c r="I21" s="208">
        <f>'fuel UCM Industrial'!S23</f>
        <v>47.538800219276141</v>
      </c>
      <c r="J21" s="209">
        <v>0.89866388459621516</v>
      </c>
      <c r="K21" s="209">
        <v>0.10133611540378484</v>
      </c>
      <c r="L21" s="210">
        <f>Table1[[#This Row],[UCM (Feedstock)
(€/MWh)]]*Table1[[#This Row],[Weighting factor for Feedstock
(%)]]+Table1[[#This Row],[UCM (Fuel)
(€/MWh)]]*Table1[[#This Row],[Weighting factor for Fuel
(%)]]</f>
        <v>109.28715383664796</v>
      </c>
    </row>
    <row r="22" spans="1:12" x14ac:dyDescent="0.3">
      <c r="A22" s="207" t="s">
        <v>22</v>
      </c>
      <c r="B22" s="208">
        <v>1266200000</v>
      </c>
      <c r="C22" s="208">
        <v>441.86490876086748</v>
      </c>
      <c r="D22" s="208">
        <v>231.46555842170631</v>
      </c>
      <c r="E22" s="208">
        <v>1093.0782459157351</v>
      </c>
      <c r="F22" s="208">
        <v>1713.3371548676794</v>
      </c>
      <c r="G22" s="208">
        <f t="shared" si="0"/>
        <v>303793599.94553143</v>
      </c>
      <c r="H22" s="208">
        <f t="shared" si="1"/>
        <v>59.11659242183314</v>
      </c>
      <c r="I22" s="208">
        <f>'fuel UCM Industrial'!S24</f>
        <v>32.891498894142138</v>
      </c>
      <c r="J22" s="209">
        <v>0.73047060547216636</v>
      </c>
      <c r="K22" s="209">
        <v>0.26952939452783364</v>
      </c>
      <c r="L22" s="210">
        <f>Table1[[#This Row],[UCM (Feedstock)
(€/MWh)]]*Table1[[#This Row],[Weighting factor for Feedstock
(%)]]+Table1[[#This Row],[UCM (Fuel)
(€/MWh)]]*Table1[[#This Row],[Weighting factor for Fuel
(%)]]</f>
        <v>39.959932474096505</v>
      </c>
    </row>
    <row r="23" spans="1:12" x14ac:dyDescent="0.3">
      <c r="A23" s="207" t="s">
        <v>23</v>
      </c>
      <c r="B23" s="208">
        <v>9497000000</v>
      </c>
      <c r="C23" s="208">
        <v>2073.4928823922805</v>
      </c>
      <c r="D23" s="208">
        <v>1670.8464698576477</v>
      </c>
      <c r="E23" s="208">
        <v>6564.4645074997607</v>
      </c>
      <c r="F23" s="208">
        <v>12589.47167287666</v>
      </c>
      <c r="G23" s="208">
        <f t="shared" si="0"/>
        <v>1856536979.8375685</v>
      </c>
      <c r="H23" s="208">
        <f t="shared" si="1"/>
        <v>76.987699162743439</v>
      </c>
      <c r="I23" s="208">
        <f>'fuel UCM Industrial'!S25</f>
        <v>43.993422661054538</v>
      </c>
      <c r="J23" s="209">
        <v>0.71401176956089629</v>
      </c>
      <c r="K23" s="209">
        <v>0.28598823043910371</v>
      </c>
      <c r="L23" s="210">
        <f>Table1[[#This Row],[UCM (Feedstock)
(€/MWh)]]*Table1[[#This Row],[Weighting factor for Feedstock
(%)]]+Table1[[#This Row],[UCM (Fuel)
(€/MWh)]]*Table1[[#This Row],[Weighting factor for Fuel
(%)]]</f>
        <v>53.429397412391047</v>
      </c>
    </row>
    <row r="24" spans="1:12" x14ac:dyDescent="0.3">
      <c r="A24" s="207" t="s">
        <v>24</v>
      </c>
      <c r="B24" s="208">
        <v>9171900000</v>
      </c>
      <c r="C24" s="208">
        <v>987.48447501671922</v>
      </c>
      <c r="D24" s="208">
        <v>1180.0420368778064</v>
      </c>
      <c r="E24" s="208">
        <v>4153.339065634852</v>
      </c>
      <c r="F24" s="208">
        <v>7611.3260724180755</v>
      </c>
      <c r="G24" s="208">
        <f t="shared" si="0"/>
        <v>1689834447.5732038</v>
      </c>
      <c r="H24" s="208">
        <f t="shared" si="1"/>
        <v>147.14115739317759</v>
      </c>
      <c r="I24" s="208">
        <f>'fuel UCM Industrial'!S26</f>
        <v>52.629912919649144</v>
      </c>
      <c r="J24" s="209">
        <v>0.80920885270923426</v>
      </c>
      <c r="K24" s="209">
        <v>0.19079114729076574</v>
      </c>
      <c r="L24" s="210">
        <f>Table1[[#This Row],[UCM (Feedstock)
(€/MWh)]]*Table1[[#This Row],[Weighting factor for Feedstock
(%)]]+Table1[[#This Row],[UCM (Fuel)
(€/MWh)]]*Table1[[#This Row],[Weighting factor for Fuel
(%)]]</f>
        <v>70.66182168463169</v>
      </c>
    </row>
    <row r="25" spans="1:12" x14ac:dyDescent="0.3">
      <c r="A25" s="207" t="s">
        <v>25</v>
      </c>
      <c r="B25" s="208">
        <v>16567000000</v>
      </c>
      <c r="C25" s="208">
        <v>407.59052259482178</v>
      </c>
      <c r="D25" s="208">
        <v>1171.2763924715773</v>
      </c>
      <c r="E25" s="208">
        <v>2933.409764020254</v>
      </c>
      <c r="F25" s="208">
        <v>5018.486672398968</v>
      </c>
      <c r="G25" s="208">
        <f t="shared" si="0"/>
        <v>3289415096.2664824</v>
      </c>
      <c r="H25" s="208">
        <f t="shared" si="1"/>
        <v>693.92876334950711</v>
      </c>
      <c r="I25" s="208">
        <f>'fuel UCM Industrial'!S27</f>
        <v>60.147014568000806</v>
      </c>
      <c r="J25" s="209">
        <v>0.95045383728316535</v>
      </c>
      <c r="K25" s="209">
        <v>4.9546162716834652E-2</v>
      </c>
      <c r="L25" s="210">
        <f>Table1[[#This Row],[UCM (Feedstock)
(€/MWh)]]*Table1[[#This Row],[Weighting factor for Feedstock
(%)]]+Table1[[#This Row],[UCM (Fuel)
(€/MWh)]]*Table1[[#This Row],[Weighting factor for Fuel
(%)]]</f>
        <v>91.548468220089347</v>
      </c>
    </row>
    <row r="26" spans="1:12" x14ac:dyDescent="0.3">
      <c r="A26" s="207" t="s">
        <v>41</v>
      </c>
      <c r="B26" s="208">
        <v>98900000</v>
      </c>
      <c r="C26" s="208">
        <v>0</v>
      </c>
      <c r="D26" s="208">
        <v>15.1</v>
      </c>
      <c r="E26" s="208">
        <v>52.1</v>
      </c>
      <c r="F26" s="208" t="s">
        <v>218</v>
      </c>
      <c r="G26" s="208" t="s">
        <v>218</v>
      </c>
      <c r="H26" s="208" t="s">
        <v>218</v>
      </c>
      <c r="I26" s="208">
        <f>'fuel UCM Industrial'!S28</f>
        <v>33.760954670329667</v>
      </c>
      <c r="J26" s="209" t="s">
        <v>218</v>
      </c>
      <c r="K26" s="209" t="s">
        <v>218</v>
      </c>
      <c r="L26" s="210">
        <f>Table1[[#This Row],[UCM (Fuel)
(€/MWh)]]</f>
        <v>33.760954670329667</v>
      </c>
    </row>
    <row r="27" spans="1:12" x14ac:dyDescent="0.3">
      <c r="A27" s="212" t="s">
        <v>27</v>
      </c>
      <c r="B27" s="213" t="s">
        <v>218</v>
      </c>
      <c r="C27" s="213">
        <v>0</v>
      </c>
      <c r="D27" s="213">
        <v>58.3</v>
      </c>
      <c r="E27" s="213">
        <v>245.7</v>
      </c>
      <c r="F27" s="213" t="s">
        <v>218</v>
      </c>
      <c r="G27" s="213" t="s">
        <v>218</v>
      </c>
      <c r="H27" s="213" t="s">
        <v>218</v>
      </c>
      <c r="I27" s="213">
        <f>'fuel UCM Industrial'!S29</f>
        <v>56.848013912692821</v>
      </c>
      <c r="J27" s="214" t="s">
        <v>218</v>
      </c>
      <c r="K27" s="214" t="s">
        <v>218</v>
      </c>
      <c r="L27" s="215">
        <f>Table1[[#This Row],[UCM (Fuel)
(€/MWh)]]</f>
        <v>56.848013912692821</v>
      </c>
    </row>
    <row r="28" spans="1:12" x14ac:dyDescent="0.3">
      <c r="L28" s="211"/>
    </row>
    <row r="29" spans="1:12" x14ac:dyDescent="0.3">
      <c r="L29" s="211"/>
    </row>
    <row r="30" spans="1:12" x14ac:dyDescent="0.3">
      <c r="A30" s="216" t="s">
        <v>318</v>
      </c>
      <c r="B30" s="217" t="s">
        <v>326</v>
      </c>
    </row>
    <row r="31" spans="1:12" x14ac:dyDescent="0.3">
      <c r="A31" s="129"/>
      <c r="B31" s="217" t="s">
        <v>324</v>
      </c>
    </row>
    <row r="32" spans="1:12" x14ac:dyDescent="0.3">
      <c r="B32" s="129" t="s">
        <v>325</v>
      </c>
    </row>
  </sheetData>
  <hyperlinks>
    <hyperlink ref="B31" r:id="rId1"/>
    <hyperlink ref="B30" r:id="rId2"/>
  </hyperlinks>
  <pageMargins left="0.7" right="0.7" top="0.75" bottom="0.75" header="0.3" footer="0.3"/>
  <pageSetup paperSize="9" orientation="portrait"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topLeftCell="A12" zoomScale="75" zoomScaleNormal="75" workbookViewId="0">
      <selection activeCell="A36" sqref="A36"/>
    </sheetView>
  </sheetViews>
  <sheetFormatPr defaultRowHeight="18.75" x14ac:dyDescent="0.3"/>
  <cols>
    <col min="1" max="2" width="20.7109375" style="39" customWidth="1"/>
    <col min="3" max="3" width="25.5703125" style="39" customWidth="1"/>
    <col min="4" max="4" width="30" style="39" customWidth="1"/>
    <col min="5" max="6" width="20.7109375" style="39" customWidth="1"/>
    <col min="7" max="7" width="32.85546875" style="39" customWidth="1"/>
    <col min="8" max="16384" width="9.140625" style="39"/>
  </cols>
  <sheetData>
    <row r="1" spans="1:7" s="135" customFormat="1" ht="18.75" customHeight="1" x14ac:dyDescent="0.25">
      <c r="A1" s="291"/>
      <c r="B1" s="287" t="s">
        <v>200</v>
      </c>
      <c r="C1" s="287"/>
      <c r="D1" s="287"/>
      <c r="E1" s="287"/>
      <c r="F1" s="287"/>
      <c r="G1" s="287" t="s">
        <v>206</v>
      </c>
    </row>
    <row r="2" spans="1:7" s="135" customFormat="1" ht="18.75" customHeight="1" x14ac:dyDescent="0.25">
      <c r="A2" s="291"/>
      <c r="B2" s="287"/>
      <c r="C2" s="287"/>
      <c r="D2" s="287"/>
      <c r="E2" s="287"/>
      <c r="F2" s="287"/>
      <c r="G2" s="287"/>
    </row>
    <row r="3" spans="1:7" x14ac:dyDescent="0.3">
      <c r="A3" s="54" t="s">
        <v>29</v>
      </c>
      <c r="B3" s="45" t="s">
        <v>198</v>
      </c>
      <c r="C3" s="45" t="s">
        <v>194</v>
      </c>
      <c r="D3" s="45" t="s">
        <v>196</v>
      </c>
      <c r="E3" s="45" t="s">
        <v>199</v>
      </c>
      <c r="F3" s="45" t="s">
        <v>46</v>
      </c>
      <c r="G3" s="45" t="s">
        <v>201</v>
      </c>
    </row>
    <row r="4" spans="1:7" x14ac:dyDescent="0.3">
      <c r="A4" s="54" t="s">
        <v>2</v>
      </c>
      <c r="B4" s="136">
        <f>Table3[[#This Row],[Total UCM at Residential Sector
(€/MWh)]]</f>
        <v>157.19464705250581</v>
      </c>
      <c r="C4" s="136">
        <f>'UCM Services Protected'!DQ4</f>
        <v>144.88568709208627</v>
      </c>
      <c r="D4" s="136">
        <f>Table8[[#This Row],[Total UCM at Services Non-Protected Sector
(€/MWh)]]</f>
        <v>133.22202127681135</v>
      </c>
      <c r="E4" s="136">
        <f>Table6[[#This Row],[Industrial Average (Fuel)
(€/MWh)]]</f>
        <v>52.569179075169451</v>
      </c>
      <c r="F4" s="136">
        <f>'UCM Power'!O4</f>
        <v>86.535513005050689</v>
      </c>
      <c r="G4" s="132">
        <f>Table10[[#This Row],[Residential Sector]]*'W.F. at Sector Level'!B5+(AVERAGE(Table10[[#This Row],[Services Protected Sector]:[Services Non-Protected Sector]])*'W.F. at Sector Level'!C5)+Table10[[#This Row],[Industrial Sector]]*'W.F. at Sector Level'!D5+Table10[[#This Row],[Power Sector]]*'W.F. at Sector Level'!E5</f>
        <v>102.38643366287587</v>
      </c>
    </row>
    <row r="5" spans="1:7" x14ac:dyDescent="0.3">
      <c r="A5" s="54" t="s">
        <v>3</v>
      </c>
      <c r="B5" s="136">
        <f>Table3[[#This Row],[Total UCM at Residential Sector
(€/MWh)]]</f>
        <v>66.114969649451055</v>
      </c>
      <c r="C5" s="136">
        <f>'UCM Services Protected'!DQ5</f>
        <v>43.924225498941567</v>
      </c>
      <c r="D5" s="136">
        <f>Table8[[#This Row],[Total UCM at Services Non-Protected Sector
(€/MWh)]]</f>
        <v>40.525945396905506</v>
      </c>
      <c r="E5" s="136">
        <f>Table6[[#This Row],[Industrial Average (Fuel)
(€/MWh)]]</f>
        <v>36.174306947865134</v>
      </c>
      <c r="F5" s="136">
        <f>'UCM Power'!O5</f>
        <v>79.71493083835415</v>
      </c>
      <c r="G5" s="132">
        <f>Table10[[#This Row],[Residential Sector]]*'W.F. at Sector Level'!B6+(AVERAGE(Table10[[#This Row],[Services Protected Sector]:[Services Non-Protected Sector]])*'W.F. at Sector Level'!C6)+Table10[[#This Row],[Industrial Sector]]*'W.F. at Sector Level'!D6+Table10[[#This Row],[Power Sector]]*'W.F. at Sector Level'!E6</f>
        <v>54.608709056221457</v>
      </c>
    </row>
    <row r="6" spans="1:7" x14ac:dyDescent="0.3">
      <c r="A6" s="54" t="s">
        <v>4</v>
      </c>
      <c r="B6" s="136">
        <f>Table3[[#This Row],[Total UCM at Residential Sector
(€/MWh)]]</f>
        <v>79.963694313248652</v>
      </c>
      <c r="C6" s="136">
        <f>'UCM Services Protected'!DQ6</f>
        <v>70.504853844533429</v>
      </c>
      <c r="D6" s="136">
        <f>Table8[[#This Row],[Total UCM at Services Non-Protected Sector
(€/MWh)]]</f>
        <v>66.44962639821577</v>
      </c>
      <c r="E6" s="136">
        <f>Table6[[#This Row],[Industrial Average (Fuel)
(€/MWh)]]</f>
        <v>30.347177826986016</v>
      </c>
      <c r="F6" s="136">
        <f>'UCM Power'!O6</f>
        <v>74.71493083835415</v>
      </c>
      <c r="G6" s="132">
        <f>Table10[[#This Row],[Residential Sector]]*'W.F. at Sector Level'!B7+(AVERAGE(Table10[[#This Row],[Services Protected Sector]:[Services Non-Protected Sector]])*'W.F. at Sector Level'!C7)+Table10[[#This Row],[Industrial Sector]]*'W.F. at Sector Level'!D7+Table10[[#This Row],[Power Sector]]*'W.F. at Sector Level'!E7</f>
        <v>56.774990688110101</v>
      </c>
    </row>
    <row r="7" spans="1:7" x14ac:dyDescent="0.3">
      <c r="A7" s="54" t="s">
        <v>5</v>
      </c>
      <c r="B7" s="136">
        <f>Table3[[#This Row],[Total UCM at Residential Sector
(€/MWh)]]</f>
        <v>70.918165300882094</v>
      </c>
      <c r="C7" s="136">
        <f>'UCM Services Protected'!DQ7</f>
        <v>61.367709114907157</v>
      </c>
      <c r="D7" s="136">
        <f>Table8[[#This Row],[Total UCM at Services Non-Protected Sector
(€/MWh)]]</f>
        <v>60.648782446066718</v>
      </c>
      <c r="E7" s="136">
        <f>Table6[[#This Row],[Industrial Average (Fuel)
(€/MWh)]]</f>
        <v>34.270376298013908</v>
      </c>
      <c r="F7" s="136">
        <f>'UCM Power'!O7</f>
        <v>47.287289318871466</v>
      </c>
      <c r="G7" s="132">
        <f>Table10[[#This Row],[Residential Sector]]*'W.F. at Sector Level'!B8+(AVERAGE(Table10[[#This Row],[Services Protected Sector]:[Services Non-Protected Sector]])*'W.F. at Sector Level'!C8)+Table10[[#This Row],[Industrial Sector]]*'W.F. at Sector Level'!D8+Table10[[#This Row],[Power Sector]]*'W.F. at Sector Level'!E8</f>
        <v>51.465338245240829</v>
      </c>
    </row>
    <row r="8" spans="1:7" x14ac:dyDescent="0.3">
      <c r="A8" s="54" t="s">
        <v>6</v>
      </c>
      <c r="B8" s="136">
        <f>Table3[[#This Row],[Total UCM at Residential Sector
(€/MWh)]]</f>
        <v>90.618948580670093</v>
      </c>
      <c r="C8" s="136">
        <f>'UCM Services Protected'!DQ8</f>
        <v>81.492892960167495</v>
      </c>
      <c r="D8" s="136">
        <f>Table8[[#This Row],[Total UCM at Services Non-Protected Sector
(€/MWh)]]</f>
        <v>76.750566253479022</v>
      </c>
      <c r="E8" s="136">
        <f>Table6[[#This Row],[Industrial Average (Fuel)
(€/MWh)]]</f>
        <v>50.908460089222714</v>
      </c>
      <c r="F8" s="136">
        <f>'UCM Power'!O8</f>
        <v>47.887289318871467</v>
      </c>
      <c r="G8" s="132">
        <f>Table10[[#This Row],[Residential Sector]]*'W.F. at Sector Level'!B9+(AVERAGE(Table10[[#This Row],[Services Protected Sector]:[Services Non-Protected Sector]])*'W.F. at Sector Level'!C9)+Table10[[#This Row],[Industrial Sector]]*'W.F. at Sector Level'!D9+Table10[[#This Row],[Power Sector]]*'W.F. at Sector Level'!E9</f>
        <v>55.569927009826365</v>
      </c>
    </row>
    <row r="9" spans="1:7" x14ac:dyDescent="0.3">
      <c r="A9" s="54" t="s">
        <v>7</v>
      </c>
      <c r="B9" s="136">
        <f>Table3[[#This Row],[Total UCM at Residential Sector
(€/MWh)]]</f>
        <v>84.305567566718409</v>
      </c>
      <c r="C9" s="136">
        <f>'UCM Services Protected'!DQ9</f>
        <v>67.998082541097602</v>
      </c>
      <c r="D9" s="136">
        <f>Table8[[#This Row],[Total UCM at Services Non-Protected Sector
(€/MWh)]]</f>
        <v>56.029460339278785</v>
      </c>
      <c r="E9" s="136">
        <f>Table6[[#This Row],[Industrial Average (Fuel)
(€/MWh)]]</f>
        <v>35.75344635295896</v>
      </c>
      <c r="F9" s="136">
        <f>'UCM Power'!O9</f>
        <v>50.287289318871466</v>
      </c>
      <c r="G9" s="132">
        <f>Table10[[#This Row],[Residential Sector]]*'W.F. at Sector Level'!B10+(AVERAGE(Table10[[#This Row],[Services Protected Sector]:[Services Non-Protected Sector]])*'W.F. at Sector Level'!C10)+Table10[[#This Row],[Industrial Sector]]*'W.F. at Sector Level'!D10+Table10[[#This Row],[Power Sector]]*'W.F. at Sector Level'!E10</f>
        <v>52.180987633570034</v>
      </c>
    </row>
    <row r="10" spans="1:7" x14ac:dyDescent="0.3">
      <c r="A10" s="54" t="s">
        <v>8</v>
      </c>
      <c r="B10" s="136">
        <f>Table3[[#This Row],[Total UCM at Residential Sector
(€/MWh)]]</f>
        <v>103.98963579278166</v>
      </c>
      <c r="C10" s="136">
        <f>'UCM Services Protected'!DQ10</f>
        <v>97.148567274127672</v>
      </c>
      <c r="D10" s="136">
        <f>Table8[[#This Row],[Total UCM at Services Non-Protected Sector
(€/MWh)]]</f>
        <v>93.782033812236904</v>
      </c>
      <c r="E10" s="136">
        <f>Table6[[#This Row],[Industrial Average (Fuel)
(€/MWh)]]</f>
        <v>49.74885478626878</v>
      </c>
      <c r="F10" s="136">
        <f>'UCM Power'!O10</f>
        <v>58.498298493183391</v>
      </c>
      <c r="G10" s="132">
        <f>Table10[[#This Row],[Residential Sector]]*'W.F. at Sector Level'!B11+(AVERAGE(Table10[[#This Row],[Services Protected Sector]:[Services Non-Protected Sector]])*'W.F. at Sector Level'!C11)+Table10[[#This Row],[Industrial Sector]]*'W.F. at Sector Level'!D11+Table10[[#This Row],[Power Sector]]*'W.F. at Sector Level'!E11</f>
        <v>63.287390026970378</v>
      </c>
    </row>
    <row r="11" spans="1:7" x14ac:dyDescent="0.3">
      <c r="A11" s="54" t="s">
        <v>9</v>
      </c>
      <c r="B11" s="136">
        <f>Table3[[#This Row],[Total UCM at Residential Sector
(€/MWh)]]</f>
        <v>119.3186012270103</v>
      </c>
      <c r="C11" s="136">
        <f>'UCM Services Protected'!DQ11</f>
        <v>108.9761596789732</v>
      </c>
      <c r="D11" s="136">
        <f>Table8[[#This Row],[Total UCM at Services Non-Protected Sector
(€/MWh)]]</f>
        <v>104.6726273352042</v>
      </c>
      <c r="E11" s="136">
        <f>Table6[[#This Row],[Industrial Average (Fuel)
(€/MWh)]]</f>
        <v>70.084395793426751</v>
      </c>
      <c r="F11" s="136">
        <f>'UCM Power'!O11</f>
        <v>56.934078309697149</v>
      </c>
      <c r="G11" s="132">
        <f>Table10[[#This Row],[Residential Sector]]*'W.F. at Sector Level'!B12+(AVERAGE(Table10[[#This Row],[Services Protected Sector]:[Services Non-Protected Sector]])*'W.F. at Sector Level'!C12)+Table10[[#This Row],[Industrial Sector]]*'W.F. at Sector Level'!D12+Table10[[#This Row],[Power Sector]]*'W.F. at Sector Level'!E12</f>
        <v>84.392085762951552</v>
      </c>
    </row>
    <row r="12" spans="1:7" x14ac:dyDescent="0.3">
      <c r="A12" s="54" t="s">
        <v>10</v>
      </c>
      <c r="B12" s="136">
        <f>Table3[[#This Row],[Total UCM at Residential Sector
(€/MWh)]]</f>
        <v>110.96486444626737</v>
      </c>
      <c r="C12" s="136">
        <f>'UCM Services Protected'!DQ12</f>
        <v>102.25226858337388</v>
      </c>
      <c r="D12" s="136">
        <f>Table8[[#This Row],[Total UCM at Services Non-Protected Sector
(€/MWh)]]</f>
        <v>93.77371167614092</v>
      </c>
      <c r="E12" s="136">
        <f>Table6[[#This Row],[Industrial Average (Fuel)
(€/MWh)]]</f>
        <v>45.16704084333098</v>
      </c>
      <c r="F12" s="136">
        <f>'UCM Power'!O12</f>
        <v>51.207472805109994</v>
      </c>
      <c r="G12" s="132">
        <f>Table10[[#This Row],[Residential Sector]]*'W.F. at Sector Level'!B13+(AVERAGE(Table10[[#This Row],[Services Protected Sector]:[Services Non-Protected Sector]])*'W.F. at Sector Level'!C13)+Table10[[#This Row],[Industrial Sector]]*'W.F. at Sector Level'!D13+Table10[[#This Row],[Power Sector]]*'W.F. at Sector Level'!E13</f>
        <v>65.844662041831867</v>
      </c>
    </row>
    <row r="13" spans="1:7" x14ac:dyDescent="0.3">
      <c r="A13" s="54" t="s">
        <v>11</v>
      </c>
      <c r="B13" s="136">
        <f>Table3[[#This Row],[Total UCM at Residential Sector
(€/MWh)]]</f>
        <v>104.5805786707208</v>
      </c>
      <c r="C13" s="136">
        <f>'UCM Services Protected'!DQ13</f>
        <v>94.397386251930939</v>
      </c>
      <c r="D13" s="136">
        <f>Table8[[#This Row],[Total UCM at Services Non-Protected Sector
(€/MWh)]]</f>
        <v>90.47834426503276</v>
      </c>
      <c r="E13" s="136">
        <f>Table6[[#This Row],[Industrial Average (Fuel)
(€/MWh)]]</f>
        <v>59.801394419800381</v>
      </c>
      <c r="F13" s="136">
        <f>'UCM Power'!O13</f>
        <v>72.334078309697162</v>
      </c>
      <c r="G13" s="132">
        <f>Table10[[#This Row],[Residential Sector]]*'W.F. at Sector Level'!B14+(AVERAGE(Table10[[#This Row],[Services Protected Sector]:[Services Non-Protected Sector]])*'W.F. at Sector Level'!C14)+Table10[[#This Row],[Industrial Sector]]*'W.F. at Sector Level'!D14+Table10[[#This Row],[Power Sector]]*'W.F. at Sector Level'!E14</f>
        <v>72.020653802571573</v>
      </c>
    </row>
    <row r="14" spans="1:7" x14ac:dyDescent="0.3">
      <c r="A14" s="54" t="s">
        <v>12</v>
      </c>
      <c r="B14" s="136">
        <f>Table3[[#This Row],[Total UCM at Residential Sector
(€/MWh)]]</f>
        <v>75.952391927955517</v>
      </c>
      <c r="C14" s="136">
        <f>'UCM Services Protected'!DQ14</f>
        <v>67.554720448671304</v>
      </c>
      <c r="D14" s="136">
        <f>Table8[[#This Row],[Total UCM at Services Non-Protected Sector
(€/MWh)]]</f>
        <v>64.845461217505857</v>
      </c>
      <c r="E14" s="136">
        <f>Table6[[#This Row],[Industrial Average (Fuel)
(€/MWh)]]</f>
        <v>46.52874915654521</v>
      </c>
      <c r="F14" s="136">
        <f>'UCM Power'!O14</f>
        <v>66.470312508461518</v>
      </c>
      <c r="G14" s="132">
        <f>Table10[[#This Row],[Residential Sector]]*'W.F. at Sector Level'!B15+(AVERAGE(Table10[[#This Row],[Services Protected Sector]:[Services Non-Protected Sector]])*'W.F. at Sector Level'!C15)+Table10[[#This Row],[Industrial Sector]]*'W.F. at Sector Level'!D15+Table10[[#This Row],[Power Sector]]*'W.F. at Sector Level'!E15</f>
        <v>64.566273304474052</v>
      </c>
    </row>
    <row r="15" spans="1:7" x14ac:dyDescent="0.3">
      <c r="A15" s="54" t="s">
        <v>13</v>
      </c>
      <c r="B15" s="136">
        <f>Table3[[#This Row],[Total UCM at Residential Sector
(€/MWh)]]</f>
        <v>83.651219305157611</v>
      </c>
      <c r="C15" s="136">
        <f>'UCM Services Protected'!DQ15</f>
        <v>74.224902828845842</v>
      </c>
      <c r="D15" s="136">
        <f>Table8[[#This Row],[Total UCM at Services Non-Protected Sector
(€/MWh)]]</f>
        <v>70.378710619539945</v>
      </c>
      <c r="E15" s="136">
        <f>Table6[[#This Row],[Industrial Average (Fuel)
(€/MWh)]]</f>
        <v>33.23587401860604</v>
      </c>
      <c r="F15" s="136">
        <f>'UCM Power'!O15</f>
        <v>55.733738056759009</v>
      </c>
      <c r="G15" s="132">
        <f>Table10[[#This Row],[Residential Sector]]*'W.F. at Sector Level'!B16+(AVERAGE(Table10[[#This Row],[Services Protected Sector]:[Services Non-Protected Sector]])*'W.F. at Sector Level'!C16)+Table10[[#This Row],[Industrial Sector]]*'W.F. at Sector Level'!D16+Table10[[#This Row],[Power Sector]]*'W.F. at Sector Level'!E16</f>
        <v>59.636429419649872</v>
      </c>
    </row>
    <row r="16" spans="1:7" x14ac:dyDescent="0.3">
      <c r="A16" s="54" t="s">
        <v>14</v>
      </c>
      <c r="B16" s="136">
        <f>Table3[[#This Row],[Total UCM at Residential Sector
(€/MWh)]]</f>
        <v>61.85254686538326</v>
      </c>
      <c r="C16" s="136">
        <f>'UCM Services Protected'!DQ16</f>
        <v>53.064010402132084</v>
      </c>
      <c r="D16" s="136">
        <f>Table8[[#This Row],[Total UCM at Services Non-Protected Sector
(€/MWh)]]</f>
        <v>53.382528427162413</v>
      </c>
      <c r="E16" s="136">
        <f>Table6[[#This Row],[Industrial Average (Fuel)
(€/MWh)]]</f>
        <v>36.605825941682966</v>
      </c>
      <c r="F16" s="136">
        <f>'UCM Power'!O16</f>
        <v>59.433738056759005</v>
      </c>
      <c r="G16" s="132">
        <f>Table10[[#This Row],[Residential Sector]]*'W.F. at Sector Level'!B17+(AVERAGE(Table10[[#This Row],[Services Protected Sector]:[Services Non-Protected Sector]])*'W.F. at Sector Level'!C17)+Table10[[#This Row],[Industrial Sector]]*'W.F. at Sector Level'!D17+Table10[[#This Row],[Power Sector]]*'W.F. at Sector Level'!E17</f>
        <v>46.746428436616682</v>
      </c>
    </row>
    <row r="17" spans="1:7" x14ac:dyDescent="0.3">
      <c r="A17" s="54" t="s">
        <v>15</v>
      </c>
      <c r="B17" s="136">
        <f>Table3[[#This Row],[Total UCM at Residential Sector
(€/MWh)]]</f>
        <v>83.360261854542955</v>
      </c>
      <c r="C17" s="136">
        <f>'UCM Services Protected'!DQ17</f>
        <v>74.047317663673965</v>
      </c>
      <c r="D17" s="136">
        <f>Table8[[#This Row],[Total UCM at Services Non-Protected Sector
(€/MWh)]]</f>
        <v>66.14878174348307</v>
      </c>
      <c r="E17" s="136">
        <f>Table6[[#This Row],[Industrial Average (Fuel)
(€/MWh)]]</f>
        <v>38.290528909223866</v>
      </c>
      <c r="F17" s="136">
        <f>'UCM Power'!O17</f>
        <v>54.319009376456201</v>
      </c>
      <c r="G17" s="132">
        <f>Table10[[#This Row],[Residential Sector]]*'W.F. at Sector Level'!B18+(AVERAGE(Table10[[#This Row],[Services Protected Sector]:[Services Non-Protected Sector]])*'W.F. at Sector Level'!C18)+Table10[[#This Row],[Industrial Sector]]*'W.F. at Sector Level'!D18+Table10[[#This Row],[Power Sector]]*'W.F. at Sector Level'!E18</f>
        <v>61.753056147651073</v>
      </c>
    </row>
    <row r="18" spans="1:7" x14ac:dyDescent="0.3">
      <c r="A18" s="54" t="s">
        <v>16</v>
      </c>
      <c r="B18" s="136">
        <f>Table3[[#This Row],[Total UCM at Residential Sector
(€/MWh)]]</f>
        <v>118.11269246750138</v>
      </c>
      <c r="C18" s="136">
        <f>'UCM Services Protected'!DQ18</f>
        <v>95.605051451534919</v>
      </c>
      <c r="D18" s="136">
        <f>Table8[[#This Row],[Total UCM at Services Non-Protected Sector
(€/MWh)]]</f>
        <v>87.435625019562906</v>
      </c>
      <c r="E18" s="136">
        <f>Table6[[#This Row],[Industrial Average (Fuel)
(€/MWh)]]</f>
        <v>55.705495135598341</v>
      </c>
      <c r="F18" s="136">
        <f>'UCM Power'!O18</f>
        <v>63.112059961073292</v>
      </c>
      <c r="G18" s="132">
        <f>Table10[[#This Row],[Residential Sector]]*'W.F. at Sector Level'!B19+(AVERAGE(Table10[[#This Row],[Services Protected Sector]:[Services Non-Protected Sector]])*'W.F. at Sector Level'!C19)+Table10[[#This Row],[Industrial Sector]]*'W.F. at Sector Level'!D19+Table10[[#This Row],[Power Sector]]*'W.F. at Sector Level'!E19</f>
        <v>87.374113627827569</v>
      </c>
    </row>
    <row r="19" spans="1:7" x14ac:dyDescent="0.3">
      <c r="A19" s="54" t="s">
        <v>17</v>
      </c>
      <c r="B19" s="136">
        <f>Table3[[#This Row],[Total UCM at Residential Sector
(€/MWh)]]</f>
        <v>86.511439233784415</v>
      </c>
      <c r="C19" s="136">
        <f>'UCM Services Protected'!DQ19</f>
        <v>77.272230970860903</v>
      </c>
      <c r="D19" s="136">
        <f>Table8[[#This Row],[Total UCM at Services Non-Protected Sector
(€/MWh)]]</f>
        <v>71.748751358647723</v>
      </c>
      <c r="E19" s="136">
        <f>Table6[[#This Row],[Industrial Average (Fuel)
(€/MWh)]]</f>
        <v>37.611972918136914</v>
      </c>
      <c r="F19" s="136">
        <f>'UCM Power'!O19</f>
        <v>65.398298493183404</v>
      </c>
      <c r="G19" s="132">
        <f>Table10[[#This Row],[Residential Sector]]*'W.F. at Sector Level'!B20+(AVERAGE(Table10[[#This Row],[Services Protected Sector]:[Services Non-Protected Sector]])*'W.F. at Sector Level'!C20)+Table10[[#This Row],[Industrial Sector]]*'W.F. at Sector Level'!D20+Table10[[#This Row],[Power Sector]]*'W.F. at Sector Level'!E20</f>
        <v>52.747655352275963</v>
      </c>
    </row>
    <row r="20" spans="1:7" x14ac:dyDescent="0.3">
      <c r="A20" s="54" t="s">
        <v>18</v>
      </c>
      <c r="B20" s="136">
        <f>Table3[[#This Row],[Total UCM at Residential Sector
(€/MWh)]]</f>
        <v>64.035704663635613</v>
      </c>
      <c r="C20" s="136">
        <f>'UCM Services Protected'!DQ20</f>
        <v>57.065076418459064</v>
      </c>
      <c r="D20" s="136">
        <f>Table8[[#This Row],[Total UCM at Services Non-Protected Sector
(€/MWh)]]</f>
        <v>53.647478590178508</v>
      </c>
      <c r="E20" s="136">
        <f>Table6[[#This Row],[Industrial Average (Fuel)
(€/MWh)]]</f>
        <v>29.759205008778963</v>
      </c>
      <c r="F20" s="136">
        <f>'UCM Power'!O20</f>
        <v>53.188641795346619</v>
      </c>
      <c r="G20" s="132">
        <f>Table10[[#This Row],[Residential Sector]]*'W.F. at Sector Level'!B21+(AVERAGE(Table10[[#This Row],[Services Protected Sector]:[Services Non-Protected Sector]])*'W.F. at Sector Level'!C21)+Table10[[#This Row],[Industrial Sector]]*'W.F. at Sector Level'!D21+Table10[[#This Row],[Power Sector]]*'W.F. at Sector Level'!E21</f>
        <v>49.305877618330477</v>
      </c>
    </row>
    <row r="21" spans="1:7" x14ac:dyDescent="0.3">
      <c r="A21" s="54" t="s">
        <v>19</v>
      </c>
      <c r="B21" s="136">
        <f>Table3[[#This Row],[Total UCM at Residential Sector
(€/MWh)]]</f>
        <v>146.08897031315189</v>
      </c>
      <c r="C21" s="136">
        <f>'UCM Services Protected'!DQ21</f>
        <v>140.23755032124222</v>
      </c>
      <c r="D21" s="136">
        <f>Table8[[#This Row],[Total UCM at Services Non-Protected Sector
(€/MWh)]]</f>
        <v>126.55373786326392</v>
      </c>
      <c r="E21" s="136">
        <f>Table6[[#This Row],[Industrial Average (Fuel)
(€/MWh)]]</f>
        <v>73.310822978626888</v>
      </c>
      <c r="F21" s="136">
        <f>'UCM Power'!O21</f>
        <v>59.717564548229269</v>
      </c>
      <c r="G21" s="132">
        <f>Table10[[#This Row],[Residential Sector]]*'W.F. at Sector Level'!B22+(AVERAGE(Table10[[#This Row],[Services Protected Sector]:[Services Non-Protected Sector]])*'W.F. at Sector Level'!C22)+Table10[[#This Row],[Industrial Sector]]*'W.F. at Sector Level'!D22+Table10[[#This Row],[Power Sector]]*'W.F. at Sector Level'!E22</f>
        <v>103.45797063271866</v>
      </c>
    </row>
    <row r="22" spans="1:7" x14ac:dyDescent="0.3">
      <c r="A22" s="54" t="s">
        <v>20</v>
      </c>
      <c r="B22" s="136">
        <f>Table3[[#This Row],[Total UCM at Residential Sector
(€/MWh)]]</f>
        <v>81.849601819024301</v>
      </c>
      <c r="C22" s="136">
        <f>'UCM Services Protected'!DQ22</f>
        <v>75.240681985496494</v>
      </c>
      <c r="D22" s="136">
        <f>Table8[[#This Row],[Total UCM at Services Non-Protected Sector
(€/MWh)]]</f>
        <v>71.113136430714519</v>
      </c>
      <c r="E22" s="136">
        <f>Table6[[#This Row],[Industrial Average (Fuel)
(€/MWh)]]</f>
        <v>38.382681595927011</v>
      </c>
      <c r="F22" s="136">
        <f>'UCM Power'!O22</f>
        <v>50.54967463997238</v>
      </c>
      <c r="G22" s="132">
        <f>Table10[[#This Row],[Residential Sector]]*'W.F. at Sector Level'!B23+(AVERAGE(Table10[[#This Row],[Services Protected Sector]:[Services Non-Protected Sector]])*'W.F. at Sector Level'!C23)+Table10[[#This Row],[Industrial Sector]]*'W.F. at Sector Level'!D23+Table10[[#This Row],[Power Sector]]*'W.F. at Sector Level'!E23</f>
        <v>52.892451154587825</v>
      </c>
    </row>
    <row r="23" spans="1:7" x14ac:dyDescent="0.3">
      <c r="A23" s="54" t="s">
        <v>21</v>
      </c>
      <c r="B23" s="136">
        <f>Table3[[#This Row],[Total UCM at Residential Sector
(€/MWh)]]</f>
        <v>74.665227461472853</v>
      </c>
      <c r="C23" s="136">
        <f>'UCM Services Protected'!DQ23</f>
        <v>67.83589134887491</v>
      </c>
      <c r="D23" s="136">
        <f>Table8[[#This Row],[Total UCM at Services Non-Protected Sector
(€/MWh)]]</f>
        <v>64.336494833016758</v>
      </c>
      <c r="E23" s="136">
        <f>Table6[[#This Row],[Industrial Average (Fuel)
(€/MWh)]]</f>
        <v>47.538800219276141</v>
      </c>
      <c r="F23" s="136">
        <f>'UCM Power'!O23</f>
        <v>61.893711337220097</v>
      </c>
      <c r="G23" s="132">
        <f>Table10[[#This Row],[Residential Sector]]*'W.F. at Sector Level'!B24+(AVERAGE(Table10[[#This Row],[Services Protected Sector]:[Services Non-Protected Sector]])*'W.F. at Sector Level'!C24)+Table10[[#This Row],[Industrial Sector]]*'W.F. at Sector Level'!D24+Table10[[#This Row],[Power Sector]]*'W.F. at Sector Level'!E24</f>
        <v>63.106011830481926</v>
      </c>
    </row>
    <row r="24" spans="1:7" x14ac:dyDescent="0.3">
      <c r="A24" s="54" t="s">
        <v>22</v>
      </c>
      <c r="B24" s="136">
        <f>Table3[[#This Row],[Total UCM at Residential Sector
(€/MWh)]]</f>
        <v>70.173962470504847</v>
      </c>
      <c r="C24" s="136">
        <f>'UCM Services Protected'!DQ24</f>
        <v>63.340252289740505</v>
      </c>
      <c r="D24" s="136">
        <f>Table8[[#This Row],[Total UCM at Services Non-Protected Sector
(€/MWh)]]</f>
        <v>65.246343144234785</v>
      </c>
      <c r="E24" s="136">
        <f>Table6[[#This Row],[Industrial Average (Fuel)
(€/MWh)]]</f>
        <v>32.891498894142138</v>
      </c>
      <c r="F24" s="136">
        <f>'UCM Power'!O24</f>
        <v>56.948147148490548</v>
      </c>
      <c r="G24" s="132">
        <f>Table10[[#This Row],[Residential Sector]]*'W.F. at Sector Level'!B25+(AVERAGE(Table10[[#This Row],[Services Protected Sector]:[Services Non-Protected Sector]])*'W.F. at Sector Level'!C25)+Table10[[#This Row],[Industrial Sector]]*'W.F. at Sector Level'!D25+Table10[[#This Row],[Power Sector]]*'W.F. at Sector Level'!E25</f>
        <v>59.171609089410765</v>
      </c>
    </row>
    <row r="25" spans="1:7" x14ac:dyDescent="0.3">
      <c r="A25" s="54" t="s">
        <v>23</v>
      </c>
      <c r="B25" s="136">
        <f>Table3[[#This Row],[Total UCM at Residential Sector
(€/MWh)]]</f>
        <v>61.603345479821762</v>
      </c>
      <c r="C25" s="136">
        <f>'UCM Services Protected'!DQ25</f>
        <v>52.370287946778774</v>
      </c>
      <c r="D25" s="136">
        <f>Table8[[#This Row],[Total UCM at Services Non-Protected Sector
(€/MWh)]]</f>
        <v>50.711042679739705</v>
      </c>
      <c r="E25" s="136">
        <f>Table6[[#This Row],[Industrial Average (Fuel)
(€/MWh)]]</f>
        <v>43.993422661054538</v>
      </c>
      <c r="F25" s="136">
        <f>'UCM Power'!O25</f>
        <v>74.741417759238431</v>
      </c>
      <c r="G25" s="132">
        <f>Table10[[#This Row],[Residential Sector]]*'W.F. at Sector Level'!B26+(AVERAGE(Table10[[#This Row],[Services Protected Sector]:[Services Non-Protected Sector]])*'W.F. at Sector Level'!C26)+Table10[[#This Row],[Industrial Sector]]*'W.F. at Sector Level'!D26+Table10[[#This Row],[Power Sector]]*'W.F. at Sector Level'!E26</f>
        <v>61.595911490388076</v>
      </c>
    </row>
    <row r="26" spans="1:7" x14ac:dyDescent="0.3">
      <c r="A26" s="54" t="s">
        <v>24</v>
      </c>
      <c r="B26" s="136">
        <f>Table3[[#This Row],[Total UCM at Residential Sector
(€/MWh)]]</f>
        <v>146.92473138090173</v>
      </c>
      <c r="C26" s="136">
        <f>'UCM Services Protected'!DQ26</f>
        <v>135.61472793346721</v>
      </c>
      <c r="D26" s="136">
        <f>Table8[[#This Row],[Total UCM at Services Non-Protected Sector
(€/MWh)]]</f>
        <v>126.93871152979909</v>
      </c>
      <c r="E26" s="136">
        <f>Table6[[#This Row],[Industrial Average (Fuel)
(€/MWh)]]</f>
        <v>52.629912919649144</v>
      </c>
      <c r="F26" s="136">
        <f>'UCM Power'!O26</f>
        <v>52.37628014455953</v>
      </c>
      <c r="G26" s="132">
        <f>Table10[[#This Row],[Residential Sector]]*'W.F. at Sector Level'!B27+(AVERAGE(Table10[[#This Row],[Services Protected Sector]:[Services Non-Protected Sector]])*'W.F. at Sector Level'!C27)+Table10[[#This Row],[Industrial Sector]]*'W.F. at Sector Level'!D27+Table10[[#This Row],[Power Sector]]*'W.F. at Sector Level'!E27</f>
        <v>89.525981058569087</v>
      </c>
    </row>
    <row r="27" spans="1:7" x14ac:dyDescent="0.3">
      <c r="A27" s="54" t="s">
        <v>25</v>
      </c>
      <c r="B27" s="136">
        <f>Table3[[#This Row],[Total UCM at Residential Sector
(€/MWh)]]</f>
        <v>117.57284058203949</v>
      </c>
      <c r="C27" s="136">
        <f>'UCM Services Protected'!DQ27</f>
        <v>107.35624777505961</v>
      </c>
      <c r="D27" s="136">
        <f>Table8[[#This Row],[Total UCM at Services Non-Protected Sector
(€/MWh)]]</f>
        <v>101.19266653737435</v>
      </c>
      <c r="E27" s="136">
        <f>Table6[[#This Row],[Industrial Average (Fuel)
(€/MWh)]]</f>
        <v>60.147014568000806</v>
      </c>
      <c r="F27" s="136">
        <f>'UCM Power'!O27</f>
        <v>51.976280144559531</v>
      </c>
      <c r="G27" s="132">
        <f>Table10[[#This Row],[Residential Sector]]*'W.F. at Sector Level'!B28+(AVERAGE(Table10[[#This Row],[Services Protected Sector]:[Services Non-Protected Sector]])*'W.F. at Sector Level'!C28)+Table10[[#This Row],[Industrial Sector]]*'W.F. at Sector Level'!D28+Table10[[#This Row],[Power Sector]]*'W.F. at Sector Level'!E28</f>
        <v>84.338178918850744</v>
      </c>
    </row>
    <row r="28" spans="1:7" x14ac:dyDescent="0.3">
      <c r="A28" s="54" t="s">
        <v>41</v>
      </c>
      <c r="B28" s="136">
        <f>Table3[[#This Row],[Total UCM at Residential Sector
(€/MWh)]]</f>
        <v>106.61160744566389</v>
      </c>
      <c r="C28" s="136">
        <f>'UCM Services Protected'!DQ28</f>
        <v>94.504714872141136</v>
      </c>
      <c r="D28" s="136">
        <f>Table8[[#This Row],[Total UCM at Services Non-Protected Sector
(€/MWh)]]</f>
        <v>81.759866936528226</v>
      </c>
      <c r="E28" s="136">
        <f>Table6[[#This Row],[Industrial Average (Fuel)
(€/MWh)]]</f>
        <v>33.760954670329667</v>
      </c>
      <c r="F28" s="136">
        <f>'UCM Power'!O28</f>
        <v>56.886371887678798</v>
      </c>
      <c r="G28" s="132">
        <f>Table10[[#This Row],[Residential Sector]]*'W.F. at Sector Level'!B29+(AVERAGE(Table10[[#This Row],[Services Protected Sector]:[Services Non-Protected Sector]])*'W.F. at Sector Level'!C29)+Table10[[#This Row],[Industrial Sector]]*'W.F. at Sector Level'!D29+Table10[[#This Row],[Power Sector]]*'W.F. at Sector Level'!E29</f>
        <v>69.05519923185625</v>
      </c>
    </row>
    <row r="29" spans="1:7" x14ac:dyDescent="0.3">
      <c r="A29" s="54" t="s">
        <v>27</v>
      </c>
      <c r="B29" s="136">
        <f>Table3[[#This Row],[Total UCM at Residential Sector
(€/MWh)]]</f>
        <v>118.01922765810474</v>
      </c>
      <c r="C29" s="136">
        <f>'UCM Services Protected'!DQ29</f>
        <v>106.81487635364479</v>
      </c>
      <c r="D29" s="136">
        <f>Table8[[#This Row],[Total UCM at Services Non-Protected Sector
(€/MWh)]]</f>
        <v>98.061526182470928</v>
      </c>
      <c r="E29" s="136">
        <f>Table6[[#This Row],[Industrial Average (Fuel)
(€/MWh)]]</f>
        <v>56.848013912692821</v>
      </c>
      <c r="F29" s="136">
        <f>'UCM Power'!O29</f>
        <v>58.217564548229269</v>
      </c>
      <c r="G29" s="132">
        <f>Table10[[#This Row],[Residential Sector]]*'W.F. at Sector Level'!B30+(AVERAGE(Table10[[#This Row],[Services Protected Sector]:[Services Non-Protected Sector]])*'W.F. at Sector Level'!C30)+Table10[[#This Row],[Industrial Sector]]*'W.F. at Sector Level'!D30+Table10[[#This Row],[Power Sector]]*'W.F. at Sector Level'!E30</f>
        <v>71.044752980420981</v>
      </c>
    </row>
    <row r="30" spans="1:7" x14ac:dyDescent="0.3">
      <c r="A30" s="26" t="s">
        <v>28</v>
      </c>
      <c r="B30" s="137">
        <f>AVERAGE(Table10[Residential Sector])</f>
        <v>95.575209366496239</v>
      </c>
      <c r="C30" s="137">
        <f>AVERAGE(Table10[Services Protected Sector])</f>
        <v>85.196014378875489</v>
      </c>
      <c r="D30" s="137">
        <f>AVERAGE(Table10[Services Non-Protected Sector])</f>
        <v>79.608999319715167</v>
      </c>
      <c r="E30" s="137">
        <f>AVERAGE(Table10[Industrial Sector])</f>
        <v>45.464054074665938</v>
      </c>
      <c r="F30" s="137">
        <f>AVERAGE(Table10[Power Sector])</f>
        <v>60.244768498549156</v>
      </c>
      <c r="G30" s="137">
        <f>AVERAGE(Table10[Total UCM at Member State Level])</f>
        <v>66.724964547087694</v>
      </c>
    </row>
    <row r="31" spans="1:7" x14ac:dyDescent="0.3">
      <c r="A31" s="26" t="s">
        <v>347</v>
      </c>
      <c r="B31" s="137">
        <f>MEDIAN(Table10[Residential Sector])</f>
        <v>85.408503400251419</v>
      </c>
      <c r="C31" s="137">
        <f>MEDIAN(Table10[Services Protected Sector])</f>
        <v>76.256456478178706</v>
      </c>
      <c r="D31" s="137">
        <f>MEDIAN(Table10[Services Non-Protected Sector])</f>
        <v>71.430943894681121</v>
      </c>
      <c r="E31" s="137">
        <f>MEDIAN(Table10[Industrial Sector])</f>
        <v>44.580231752192759</v>
      </c>
      <c r="F31" s="137">
        <f>MEDIAN(Table10[Power Sector])</f>
        <v>57.582855848359912</v>
      </c>
      <c r="G31" s="137">
        <f>MEDIAN(Table10[Total UCM at Member State Level])</f>
        <v>62.429533989066499</v>
      </c>
    </row>
    <row r="32" spans="1:7" x14ac:dyDescent="0.3">
      <c r="A32" s="26" t="s">
        <v>346</v>
      </c>
      <c r="B32" s="137">
        <f>MAX(Table10[Residential Sector])</f>
        <v>157.19464705250581</v>
      </c>
      <c r="C32" s="137">
        <f>MAX(Table10[Services Protected Sector])</f>
        <v>144.88568709208627</v>
      </c>
      <c r="D32" s="137">
        <f>MAX(Table10[Services Non-Protected Sector])</f>
        <v>133.22202127681135</v>
      </c>
      <c r="E32" s="137">
        <f>MAX(Table10[Industrial Sector])</f>
        <v>73.310822978626888</v>
      </c>
      <c r="F32" s="137">
        <f>MAX(Table10[Power Sector])</f>
        <v>86.535513005050689</v>
      </c>
      <c r="G32" s="137">
        <f>MAX(Table10[Total UCM at Member State Level])</f>
        <v>103.45797063271866</v>
      </c>
    </row>
    <row r="33" spans="1:7" x14ac:dyDescent="0.3">
      <c r="A33" s="26" t="s">
        <v>348</v>
      </c>
      <c r="B33" s="137">
        <f>MIN(Table10[Residential Sector])</f>
        <v>61.603345479821762</v>
      </c>
      <c r="C33" s="137">
        <f>MIN(Table10[Services Protected Sector])</f>
        <v>43.924225498941567</v>
      </c>
      <c r="D33" s="137">
        <f>MIN(Table10[Services Non-Protected Sector])</f>
        <v>40.525945396905506</v>
      </c>
      <c r="E33" s="137">
        <f>MIN(Table10[Industrial Sector])</f>
        <v>29.759205008778963</v>
      </c>
      <c r="F33" s="137">
        <f>MIN(Table10[Power Sector])</f>
        <v>47.287289318871466</v>
      </c>
      <c r="G33" s="137">
        <f>MIN(Table10[Total UCM at Member State Level])</f>
        <v>46.746428436616682</v>
      </c>
    </row>
  </sheetData>
  <mergeCells count="3">
    <mergeCell ref="B1:F2"/>
    <mergeCell ref="A1:A2"/>
    <mergeCell ref="G1:G2"/>
  </mergeCell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topLeftCell="A12" zoomScale="75" zoomScaleNormal="75" workbookViewId="0">
      <selection activeCell="H31" sqref="H31"/>
    </sheetView>
  </sheetViews>
  <sheetFormatPr defaultRowHeight="18.75" x14ac:dyDescent="0.3"/>
  <cols>
    <col min="1" max="7" width="20.7109375" style="39" customWidth="1"/>
    <col min="8" max="16384" width="9.140625" style="39"/>
  </cols>
  <sheetData>
    <row r="1" spans="1:7" ht="30" customHeight="1" x14ac:dyDescent="0.3">
      <c r="A1" s="292"/>
      <c r="B1" s="294" t="s">
        <v>200</v>
      </c>
      <c r="C1" s="294"/>
      <c r="D1" s="294"/>
      <c r="E1" s="294"/>
      <c r="F1" s="294"/>
      <c r="G1" s="294" t="s">
        <v>206</v>
      </c>
    </row>
    <row r="2" spans="1:7" ht="30" customHeight="1" x14ac:dyDescent="0.3">
      <c r="A2" s="293"/>
      <c r="B2" s="294"/>
      <c r="C2" s="294"/>
      <c r="D2" s="294"/>
      <c r="E2" s="294"/>
      <c r="F2" s="294"/>
      <c r="G2" s="294"/>
    </row>
    <row r="3" spans="1:7" ht="30" customHeight="1" x14ac:dyDescent="0.3">
      <c r="A3" s="38" t="s">
        <v>29</v>
      </c>
      <c r="B3" s="39" t="s">
        <v>198</v>
      </c>
      <c r="C3" s="39" t="s">
        <v>194</v>
      </c>
      <c r="D3" s="39" t="s">
        <v>196</v>
      </c>
      <c r="E3" s="39" t="s">
        <v>199</v>
      </c>
      <c r="F3" s="39" t="s">
        <v>46</v>
      </c>
      <c r="G3" s="39" t="s">
        <v>201</v>
      </c>
    </row>
    <row r="4" spans="1:7" x14ac:dyDescent="0.3">
      <c r="A4" s="141" t="s">
        <v>2</v>
      </c>
      <c r="B4" s="136">
        <f>Table3[[#This Row],[Total UCM at Residential Sector
(€/MWh)]]</f>
        <v>157.19464705250581</v>
      </c>
      <c r="C4" s="136">
        <f>'UCM Services Protected'!DQ4</f>
        <v>144.88568709208627</v>
      </c>
      <c r="D4" s="136">
        <f>Table8[[#This Row],[Total UCM at Services Non-Protected Sector
(€/MWh)]]</f>
        <v>133.22202127681135</v>
      </c>
      <c r="E4" s="136">
        <f>'feedstock UCM Industrial'!L2</f>
        <v>52.569179075169451</v>
      </c>
      <c r="F4" s="136">
        <f>'UCM Power'!O4</f>
        <v>86.535513005050689</v>
      </c>
      <c r="G4" s="132">
        <f>Table103[[#This Row],[Residential Sector]]*'W.F. at Sector Level'!F5+(AVERAGE(Table103[[#This Row],[Services Protected Sector]:[Services Non-Protected Sector]])*'W.F. at Sector Level'!G5)+Table103[[#This Row],[Industrial Sector]]*'W.F. at Sector Level'!H5+Table103[[#This Row],[Power Sector]]*'W.F. at Sector Level'!I5</f>
        <v>102.38643366287587</v>
      </c>
    </row>
    <row r="5" spans="1:7" x14ac:dyDescent="0.3">
      <c r="A5" s="141" t="s">
        <v>3</v>
      </c>
      <c r="B5" s="136">
        <f>Table3[[#This Row],[Total UCM at Residential Sector
(€/MWh)]]</f>
        <v>66.114969649451055</v>
      </c>
      <c r="C5" s="136">
        <f>'UCM Services Protected'!DQ5</f>
        <v>43.924225498941567</v>
      </c>
      <c r="D5" s="136">
        <f>Table8[[#This Row],[Total UCM at Services Non-Protected Sector
(€/MWh)]]</f>
        <v>40.525945396905506</v>
      </c>
      <c r="E5" s="136">
        <f>'feedstock UCM Industrial'!L3</f>
        <v>36.174306947865134</v>
      </c>
      <c r="F5" s="136">
        <f>'UCM Power'!O5</f>
        <v>79.71493083835415</v>
      </c>
      <c r="G5" s="132">
        <f>Table103[[#This Row],[Residential Sector]]*'W.F. at Sector Level'!F6+(AVERAGE(Table103[[#This Row],[Services Protected Sector]:[Services Non-Protected Sector]])*'W.F. at Sector Level'!G6)+Table103[[#This Row],[Industrial Sector]]*'W.F. at Sector Level'!H6+Table103[[#This Row],[Power Sector]]*'W.F. at Sector Level'!I6</f>
        <v>54.608709056221457</v>
      </c>
    </row>
    <row r="6" spans="1:7" x14ac:dyDescent="0.3">
      <c r="A6" s="141" t="s">
        <v>4</v>
      </c>
      <c r="B6" s="136">
        <f>Table3[[#This Row],[Total UCM at Residential Sector
(€/MWh)]]</f>
        <v>79.963694313248652</v>
      </c>
      <c r="C6" s="136">
        <f>'UCM Services Protected'!DQ6</f>
        <v>70.504853844533429</v>
      </c>
      <c r="D6" s="136">
        <f>Table8[[#This Row],[Total UCM at Services Non-Protected Sector
(€/MWh)]]</f>
        <v>66.44962639821577</v>
      </c>
      <c r="E6" s="136">
        <f>'feedstock UCM Industrial'!L4</f>
        <v>38.941362423762051</v>
      </c>
      <c r="F6" s="136">
        <f>'UCM Power'!O6</f>
        <v>74.71493083835415</v>
      </c>
      <c r="G6" s="132">
        <f>Table103[[#This Row],[Residential Sector]]*'W.F. at Sector Level'!F7+(AVERAGE(Table103[[#This Row],[Services Protected Sector]:[Services Non-Protected Sector]])*'W.F. at Sector Level'!G7)+Table103[[#This Row],[Industrial Sector]]*'W.F. at Sector Level'!H7+Table103[[#This Row],[Power Sector]]*'W.F. at Sector Level'!I7</f>
        <v>59.754072732974421</v>
      </c>
    </row>
    <row r="7" spans="1:7" x14ac:dyDescent="0.3">
      <c r="A7" s="141" t="s">
        <v>5</v>
      </c>
      <c r="B7" s="136">
        <f>Table3[[#This Row],[Total UCM at Residential Sector
(€/MWh)]]</f>
        <v>70.918165300882094</v>
      </c>
      <c r="C7" s="136">
        <f>'UCM Services Protected'!DQ7</f>
        <v>61.367709114907157</v>
      </c>
      <c r="D7" s="136">
        <f>Table8[[#This Row],[Total UCM at Services Non-Protected Sector
(€/MWh)]]</f>
        <v>60.648782446066718</v>
      </c>
      <c r="E7" s="136">
        <f>'feedstock UCM Industrial'!L5</f>
        <v>34.270376298013908</v>
      </c>
      <c r="F7" s="136">
        <f>'UCM Power'!O7</f>
        <v>47.287289318871466</v>
      </c>
      <c r="G7" s="132">
        <f>Table103[[#This Row],[Residential Sector]]*'W.F. at Sector Level'!F8+(AVERAGE(Table103[[#This Row],[Services Protected Sector]:[Services Non-Protected Sector]])*'W.F. at Sector Level'!G8)+Table103[[#This Row],[Industrial Sector]]*'W.F. at Sector Level'!H8+Table103[[#This Row],[Power Sector]]*'W.F. at Sector Level'!I8</f>
        <v>51.465338245240822</v>
      </c>
    </row>
    <row r="8" spans="1:7" x14ac:dyDescent="0.3">
      <c r="A8" s="141" t="s">
        <v>6</v>
      </c>
      <c r="B8" s="136">
        <f>Table3[[#This Row],[Total UCM at Residential Sector
(€/MWh)]]</f>
        <v>90.618948580670093</v>
      </c>
      <c r="C8" s="136">
        <f>'UCM Services Protected'!DQ8</f>
        <v>81.492892960167495</v>
      </c>
      <c r="D8" s="136">
        <f>Table8[[#This Row],[Total UCM at Services Non-Protected Sector
(€/MWh)]]</f>
        <v>76.750566253479022</v>
      </c>
      <c r="E8" s="136">
        <f>'feedstock UCM Industrial'!L6</f>
        <v>50.908460089222714</v>
      </c>
      <c r="F8" s="136">
        <f>'UCM Power'!O8</f>
        <v>47.887289318871467</v>
      </c>
      <c r="G8" s="132">
        <f>Table103[[#This Row],[Residential Sector]]*'W.F. at Sector Level'!F9+(AVERAGE(Table103[[#This Row],[Services Protected Sector]:[Services Non-Protected Sector]])*'W.F. at Sector Level'!G9)+Table103[[#This Row],[Industrial Sector]]*'W.F. at Sector Level'!H9+Table103[[#This Row],[Power Sector]]*'W.F. at Sector Level'!I9</f>
        <v>55.479574205413883</v>
      </c>
    </row>
    <row r="9" spans="1:7" x14ac:dyDescent="0.3">
      <c r="A9" s="141" t="s">
        <v>7</v>
      </c>
      <c r="B9" s="136">
        <f>Table3[[#This Row],[Total UCM at Residential Sector
(€/MWh)]]</f>
        <v>84.305567566718409</v>
      </c>
      <c r="C9" s="136">
        <f>'UCM Services Protected'!DQ9</f>
        <v>67.998082541097602</v>
      </c>
      <c r="D9" s="136">
        <f>Table8[[#This Row],[Total UCM at Services Non-Protected Sector
(€/MWh)]]</f>
        <v>56.029460339278785</v>
      </c>
      <c r="E9" s="136">
        <f>'feedstock UCM Industrial'!L7</f>
        <v>37.339682564321301</v>
      </c>
      <c r="F9" s="136">
        <f>'UCM Power'!O9</f>
        <v>50.287289318871466</v>
      </c>
      <c r="G9" s="132">
        <f>Table103[[#This Row],[Residential Sector]]*'W.F. at Sector Level'!F10+(AVERAGE(Table103[[#This Row],[Services Protected Sector]:[Services Non-Protected Sector]])*'W.F. at Sector Level'!G10)+Table103[[#This Row],[Industrial Sector]]*'W.F. at Sector Level'!H10+Table103[[#This Row],[Power Sector]]*'W.F. at Sector Level'!I10</f>
        <v>44.904347734509614</v>
      </c>
    </row>
    <row r="10" spans="1:7" x14ac:dyDescent="0.3">
      <c r="A10" s="141" t="s">
        <v>8</v>
      </c>
      <c r="B10" s="136">
        <f>Table3[[#This Row],[Total UCM at Residential Sector
(€/MWh)]]</f>
        <v>103.98963579278166</v>
      </c>
      <c r="C10" s="136">
        <f>'UCM Services Protected'!DQ10</f>
        <v>97.148567274127672</v>
      </c>
      <c r="D10" s="136">
        <f>Table8[[#This Row],[Total UCM at Services Non-Protected Sector
(€/MWh)]]</f>
        <v>93.782033812236904</v>
      </c>
      <c r="E10" s="136">
        <f>'feedstock UCM Industrial'!L8</f>
        <v>68.651322215861128</v>
      </c>
      <c r="F10" s="136">
        <f>'UCM Power'!O10</f>
        <v>58.498298493183391</v>
      </c>
      <c r="G10" s="132">
        <f>Table103[[#This Row],[Residential Sector]]*'W.F. at Sector Level'!F11+(AVERAGE(Table103[[#This Row],[Services Protected Sector]:[Services Non-Protected Sector]])*'W.F. at Sector Level'!G11)+Table103[[#This Row],[Industrial Sector]]*'W.F. at Sector Level'!H11+Table103[[#This Row],[Power Sector]]*'W.F. at Sector Level'!I11</f>
        <v>66.575117532329728</v>
      </c>
    </row>
    <row r="11" spans="1:7" x14ac:dyDescent="0.3">
      <c r="A11" s="141" t="s">
        <v>9</v>
      </c>
      <c r="B11" s="136">
        <f>Table3[[#This Row],[Total UCM at Residential Sector
(€/MWh)]]</f>
        <v>119.3186012270103</v>
      </c>
      <c r="C11" s="136">
        <f>'UCM Services Protected'!DQ11</f>
        <v>108.9761596789732</v>
      </c>
      <c r="D11" s="136">
        <f>Table8[[#This Row],[Total UCM at Services Non-Protected Sector
(€/MWh)]]</f>
        <v>104.6726273352042</v>
      </c>
      <c r="E11" s="136">
        <f>'feedstock UCM Industrial'!L9</f>
        <v>89.391466845389829</v>
      </c>
      <c r="F11" s="136">
        <f>'UCM Power'!O11</f>
        <v>56.934078309697149</v>
      </c>
      <c r="G11" s="132">
        <f>Table103[[#This Row],[Residential Sector]]*'W.F. at Sector Level'!F12+(AVERAGE(Table103[[#This Row],[Services Protected Sector]:[Services Non-Protected Sector]])*'W.F. at Sector Level'!G12)+Table103[[#This Row],[Industrial Sector]]*'W.F. at Sector Level'!H12+Table103[[#This Row],[Power Sector]]*'W.F. at Sector Level'!I12</f>
        <v>87.365693391681717</v>
      </c>
    </row>
    <row r="12" spans="1:7" x14ac:dyDescent="0.3">
      <c r="A12" s="141" t="s">
        <v>10</v>
      </c>
      <c r="B12" s="136">
        <f>Table3[[#This Row],[Total UCM at Residential Sector
(€/MWh)]]</f>
        <v>110.96486444626737</v>
      </c>
      <c r="C12" s="136">
        <f>'UCM Services Protected'!DQ12</f>
        <v>102.25226858337388</v>
      </c>
      <c r="D12" s="136">
        <f>Table8[[#This Row],[Total UCM at Services Non-Protected Sector
(€/MWh)]]</f>
        <v>93.77371167614092</v>
      </c>
      <c r="E12" s="136">
        <f>'feedstock UCM Industrial'!L10</f>
        <v>93.787875842026011</v>
      </c>
      <c r="F12" s="136">
        <f>'UCM Power'!O12</f>
        <v>51.207472805109994</v>
      </c>
      <c r="G12" s="132">
        <f>Table103[[#This Row],[Residential Sector]]*'W.F. at Sector Level'!F13+(AVERAGE(Table103[[#This Row],[Services Protected Sector]:[Services Non-Protected Sector]])*'W.F. at Sector Level'!G13)+Table103[[#This Row],[Industrial Sector]]*'W.F. at Sector Level'!H13+Table103[[#This Row],[Power Sector]]*'W.F. at Sector Level'!I13</f>
        <v>81.16304873002727</v>
      </c>
    </row>
    <row r="13" spans="1:7" x14ac:dyDescent="0.3">
      <c r="A13" s="141" t="s">
        <v>11</v>
      </c>
      <c r="B13" s="136">
        <f>Table3[[#This Row],[Total UCM at Residential Sector
(€/MWh)]]</f>
        <v>104.5805786707208</v>
      </c>
      <c r="C13" s="136">
        <f>'UCM Services Protected'!DQ13</f>
        <v>94.397386251930939</v>
      </c>
      <c r="D13" s="136">
        <f>Table8[[#This Row],[Total UCM at Services Non-Protected Sector
(€/MWh)]]</f>
        <v>90.47834426503276</v>
      </c>
      <c r="E13" s="136">
        <f>'feedstock UCM Industrial'!L11</f>
        <v>59.801394419800381</v>
      </c>
      <c r="F13" s="136">
        <f>'UCM Power'!O13</f>
        <v>72.334078309697162</v>
      </c>
      <c r="G13" s="132">
        <f>Table103[[#This Row],[Residential Sector]]*'W.F. at Sector Level'!F14+(AVERAGE(Table103[[#This Row],[Services Protected Sector]:[Services Non-Protected Sector]])*'W.F. at Sector Level'!G14)+Table103[[#This Row],[Industrial Sector]]*'W.F. at Sector Level'!H14+Table103[[#This Row],[Power Sector]]*'W.F. at Sector Level'!I14</f>
        <v>72.020653802571573</v>
      </c>
    </row>
    <row r="14" spans="1:7" x14ac:dyDescent="0.3">
      <c r="A14" s="141" t="s">
        <v>12</v>
      </c>
      <c r="B14" s="136">
        <f>Table3[[#This Row],[Total UCM at Residential Sector
(€/MWh)]]</f>
        <v>75.952391927955517</v>
      </c>
      <c r="C14" s="136">
        <f>'UCM Services Protected'!DQ14</f>
        <v>67.554720448671304</v>
      </c>
      <c r="D14" s="136">
        <f>Table8[[#This Row],[Total UCM at Services Non-Protected Sector
(€/MWh)]]</f>
        <v>64.845461217505857</v>
      </c>
      <c r="E14" s="136">
        <f>'feedstock UCM Industrial'!L12</f>
        <v>40.131061386398429</v>
      </c>
      <c r="F14" s="136">
        <f>'UCM Power'!O14</f>
        <v>66.470312508461518</v>
      </c>
      <c r="G14" s="132">
        <f>Table103[[#This Row],[Residential Sector]]*'W.F. at Sector Level'!F15+(AVERAGE(Table103[[#This Row],[Services Protected Sector]:[Services Non-Protected Sector]])*'W.F. at Sector Level'!G15)+Table103[[#This Row],[Industrial Sector]]*'W.F. at Sector Level'!H15+Table103[[#This Row],[Power Sector]]*'W.F. at Sector Level'!I15</f>
        <v>58.228489010338201</v>
      </c>
    </row>
    <row r="15" spans="1:7" x14ac:dyDescent="0.3">
      <c r="A15" s="141" t="s">
        <v>13</v>
      </c>
      <c r="B15" s="136">
        <f>Table3[[#This Row],[Total UCM at Residential Sector
(€/MWh)]]</f>
        <v>83.651219305157611</v>
      </c>
      <c r="C15" s="136">
        <f>'UCM Services Protected'!DQ15</f>
        <v>74.224902828845842</v>
      </c>
      <c r="D15" s="136">
        <f>Table8[[#This Row],[Total UCM at Services Non-Protected Sector
(€/MWh)]]</f>
        <v>70.378710619539945</v>
      </c>
      <c r="E15" s="136">
        <f>'feedstock UCM Industrial'!L13</f>
        <v>47.877600255840143</v>
      </c>
      <c r="F15" s="136">
        <f>'UCM Power'!O15</f>
        <v>55.733738056759009</v>
      </c>
      <c r="G15" s="132">
        <f>Table103[[#This Row],[Residential Sector]]*'W.F. at Sector Level'!F16+(AVERAGE(Table103[[#This Row],[Services Protected Sector]:[Services Non-Protected Sector]])*'W.F. at Sector Level'!G16)+Table103[[#This Row],[Industrial Sector]]*'W.F. at Sector Level'!H16+Table103[[#This Row],[Power Sector]]*'W.F. at Sector Level'!I16</f>
        <v>63.012262936836279</v>
      </c>
    </row>
    <row r="16" spans="1:7" x14ac:dyDescent="0.3">
      <c r="A16" s="141" t="s">
        <v>14</v>
      </c>
      <c r="B16" s="136">
        <f>Table3[[#This Row],[Total UCM at Residential Sector
(€/MWh)]]</f>
        <v>61.85254686538326</v>
      </c>
      <c r="C16" s="136">
        <f>'UCM Services Protected'!DQ16</f>
        <v>53.064010402132084</v>
      </c>
      <c r="D16" s="136">
        <f>Table8[[#This Row],[Total UCM at Services Non-Protected Sector
(€/MWh)]]</f>
        <v>53.382528427162413</v>
      </c>
      <c r="E16" s="136">
        <f>'feedstock UCM Industrial'!L14</f>
        <v>42.798221559391877</v>
      </c>
      <c r="F16" s="136">
        <f>'UCM Power'!O16</f>
        <v>59.433738056759005</v>
      </c>
      <c r="G16" s="132">
        <f>Table103[[#This Row],[Residential Sector]]*'W.F. at Sector Level'!F17+(AVERAGE(Table103[[#This Row],[Services Protected Sector]:[Services Non-Protected Sector]])*'W.F. at Sector Level'!G17)+Table103[[#This Row],[Industrial Sector]]*'W.F. at Sector Level'!H17+Table103[[#This Row],[Power Sector]]*'W.F. at Sector Level'!I17</f>
        <v>49.053920797685677</v>
      </c>
    </row>
    <row r="17" spans="1:7" x14ac:dyDescent="0.3">
      <c r="A17" s="141" t="s">
        <v>15</v>
      </c>
      <c r="B17" s="136">
        <f>Table3[[#This Row],[Total UCM at Residential Sector
(€/MWh)]]</f>
        <v>83.360261854542955</v>
      </c>
      <c r="C17" s="136">
        <f>'UCM Services Protected'!DQ17</f>
        <v>74.047317663673965</v>
      </c>
      <c r="D17" s="136">
        <f>Table8[[#This Row],[Total UCM at Services Non-Protected Sector
(€/MWh)]]</f>
        <v>66.14878174348307</v>
      </c>
      <c r="E17" s="136">
        <f>'feedstock UCM Industrial'!L15</f>
        <v>47.739996483119555</v>
      </c>
      <c r="F17" s="136">
        <f>'UCM Power'!O17</f>
        <v>54.319009376456201</v>
      </c>
      <c r="G17" s="132">
        <f>Table103[[#This Row],[Residential Sector]]*'W.F. at Sector Level'!F18+(AVERAGE(Table103[[#This Row],[Services Protected Sector]:[Services Non-Protected Sector]])*'W.F. at Sector Level'!G18)+Table103[[#This Row],[Industrial Sector]]*'W.F. at Sector Level'!H18+Table103[[#This Row],[Power Sector]]*'W.F. at Sector Level'!I18</f>
        <v>61.969701498666922</v>
      </c>
    </row>
    <row r="18" spans="1:7" x14ac:dyDescent="0.3">
      <c r="A18" s="141" t="s">
        <v>16</v>
      </c>
      <c r="B18" s="136">
        <f>Table3[[#This Row],[Total UCM at Residential Sector
(€/MWh)]]</f>
        <v>118.11269246750138</v>
      </c>
      <c r="C18" s="136">
        <f>'UCM Services Protected'!DQ18</f>
        <v>95.605051451534919</v>
      </c>
      <c r="D18" s="136">
        <f>Table8[[#This Row],[Total UCM at Services Non-Protected Sector
(€/MWh)]]</f>
        <v>87.435625019562906</v>
      </c>
      <c r="E18" s="136">
        <f>'feedstock UCM Industrial'!L16</f>
        <v>54.640443395781347</v>
      </c>
      <c r="F18" s="136">
        <f>'UCM Power'!O18</f>
        <v>63.112059961073292</v>
      </c>
      <c r="G18" s="132">
        <f>Table103[[#This Row],[Residential Sector]]*'W.F. at Sector Level'!F19+(AVERAGE(Table103[[#This Row],[Services Protected Sector]:[Services Non-Protected Sector]])*'W.F. at Sector Level'!G19)+Table103[[#This Row],[Industrial Sector]]*'W.F. at Sector Level'!H19+Table103[[#This Row],[Power Sector]]*'W.F. at Sector Level'!I19</f>
        <v>83.541204321551334</v>
      </c>
    </row>
    <row r="19" spans="1:7" x14ac:dyDescent="0.3">
      <c r="A19" s="141" t="s">
        <v>17</v>
      </c>
      <c r="B19" s="136">
        <f>Table3[[#This Row],[Total UCM at Residential Sector
(€/MWh)]]</f>
        <v>86.511439233784415</v>
      </c>
      <c r="C19" s="136">
        <f>'UCM Services Protected'!DQ19</f>
        <v>77.272230970860903</v>
      </c>
      <c r="D19" s="136">
        <f>Table8[[#This Row],[Total UCM at Services Non-Protected Sector
(€/MWh)]]</f>
        <v>71.748751358647723</v>
      </c>
      <c r="E19" s="136">
        <f>'feedstock UCM Industrial'!L17</f>
        <v>63.982022227037817</v>
      </c>
      <c r="F19" s="136">
        <f>'UCM Power'!O19</f>
        <v>65.398298493183404</v>
      </c>
      <c r="G19" s="132">
        <f>Table103[[#This Row],[Residential Sector]]*'W.F. at Sector Level'!F20+(AVERAGE(Table103[[#This Row],[Services Protected Sector]:[Services Non-Protected Sector]])*'W.F. at Sector Level'!G20)+Table103[[#This Row],[Industrial Sector]]*'W.F. at Sector Level'!H20+Table103[[#This Row],[Power Sector]]*'W.F. at Sector Level'!I20</f>
        <v>68.968318142640356</v>
      </c>
    </row>
    <row r="20" spans="1:7" x14ac:dyDescent="0.3">
      <c r="A20" s="141" t="s">
        <v>18</v>
      </c>
      <c r="B20" s="136">
        <f>Table3[[#This Row],[Total UCM at Residential Sector
(€/MWh)]]</f>
        <v>64.035704663635613</v>
      </c>
      <c r="C20" s="136">
        <f>'UCM Services Protected'!DQ20</f>
        <v>57.065076418459064</v>
      </c>
      <c r="D20" s="136">
        <f>Table8[[#This Row],[Total UCM at Services Non-Protected Sector
(€/MWh)]]</f>
        <v>53.647478590178508</v>
      </c>
      <c r="E20" s="136">
        <f>'feedstock UCM Industrial'!L18</f>
        <v>36.841223143104862</v>
      </c>
      <c r="F20" s="136">
        <f>'UCM Power'!O20</f>
        <v>53.188641795346619</v>
      </c>
      <c r="G20" s="132">
        <f>Table103[[#This Row],[Residential Sector]]*'W.F. at Sector Level'!F21+(AVERAGE(Table103[[#This Row],[Services Protected Sector]:[Services Non-Protected Sector]])*'W.F. at Sector Level'!G21)+Table103[[#This Row],[Industrial Sector]]*'W.F. at Sector Level'!H21+Table103[[#This Row],[Power Sector]]*'W.F. at Sector Level'!I21</f>
        <v>51.454934276049805</v>
      </c>
    </row>
    <row r="21" spans="1:7" x14ac:dyDescent="0.3">
      <c r="A21" s="141" t="s">
        <v>19</v>
      </c>
      <c r="B21" s="136">
        <f>Table3[[#This Row],[Total UCM at Residential Sector
(€/MWh)]]</f>
        <v>146.08897031315189</v>
      </c>
      <c r="C21" s="136">
        <f>'UCM Services Protected'!DQ21</f>
        <v>140.23755032124222</v>
      </c>
      <c r="D21" s="136">
        <f>Table8[[#This Row],[Total UCM at Services Non-Protected Sector
(€/MWh)]]</f>
        <v>126.55373786326392</v>
      </c>
      <c r="E21" s="136">
        <f>'feedstock UCM Industrial'!L19</f>
        <v>110.60729246372313</v>
      </c>
      <c r="F21" s="136">
        <f>'UCM Power'!O21</f>
        <v>59.717564548229269</v>
      </c>
      <c r="G21" s="132">
        <f>Table103[[#This Row],[Residential Sector]]*'W.F. at Sector Level'!F22+(AVERAGE(Table103[[#This Row],[Services Protected Sector]:[Services Non-Protected Sector]])*'W.F. at Sector Level'!G22)+Table103[[#This Row],[Industrial Sector]]*'W.F. at Sector Level'!H22+Table103[[#This Row],[Power Sector]]*'W.F. at Sector Level'!I22</f>
        <v>114.14005811659615</v>
      </c>
    </row>
    <row r="22" spans="1:7" x14ac:dyDescent="0.3">
      <c r="A22" s="141" t="s">
        <v>20</v>
      </c>
      <c r="B22" s="136">
        <f>Table3[[#This Row],[Total UCM at Residential Sector
(€/MWh)]]</f>
        <v>81.849601819024301</v>
      </c>
      <c r="C22" s="136">
        <f>'UCM Services Protected'!DQ22</f>
        <v>75.240681985496494</v>
      </c>
      <c r="D22" s="136">
        <f>Table8[[#This Row],[Total UCM at Services Non-Protected Sector
(€/MWh)]]</f>
        <v>71.113136430714519</v>
      </c>
      <c r="E22" s="136">
        <f>'feedstock UCM Industrial'!L20</f>
        <v>59.21731082363489</v>
      </c>
      <c r="F22" s="136">
        <f>'UCM Power'!O22</f>
        <v>50.54967463997238</v>
      </c>
      <c r="G22" s="132">
        <f>Table103[[#This Row],[Residential Sector]]*'W.F. at Sector Level'!F23+(AVERAGE(Table103[[#This Row],[Services Protected Sector]:[Services Non-Protected Sector]])*'W.F. at Sector Level'!G23)+Table103[[#This Row],[Industrial Sector]]*'W.F. at Sector Level'!H23+Table103[[#This Row],[Power Sector]]*'W.F. at Sector Level'!I23</f>
        <v>62.141546385721703</v>
      </c>
    </row>
    <row r="23" spans="1:7" x14ac:dyDescent="0.3">
      <c r="A23" s="141" t="s">
        <v>21</v>
      </c>
      <c r="B23" s="136">
        <f>Table3[[#This Row],[Total UCM at Residential Sector
(€/MWh)]]</f>
        <v>74.665227461472853</v>
      </c>
      <c r="C23" s="136">
        <f>'UCM Services Protected'!DQ23</f>
        <v>67.83589134887491</v>
      </c>
      <c r="D23" s="136">
        <f>Table8[[#This Row],[Total UCM at Services Non-Protected Sector
(€/MWh)]]</f>
        <v>64.336494833016758</v>
      </c>
      <c r="E23" s="136">
        <f>'feedstock UCM Industrial'!L21</f>
        <v>109.28715383664796</v>
      </c>
      <c r="F23" s="136">
        <f>'UCM Power'!O23</f>
        <v>61.893711337220097</v>
      </c>
      <c r="G23" s="132">
        <f>Table103[[#This Row],[Residential Sector]]*'W.F. at Sector Level'!F24+(AVERAGE(Table103[[#This Row],[Services Protected Sector]:[Services Non-Protected Sector]])*'W.F. at Sector Level'!G24)+Table103[[#This Row],[Industrial Sector]]*'W.F. at Sector Level'!H24+Table103[[#This Row],[Power Sector]]*'W.F. at Sector Level'!I24</f>
        <v>81.520586717925937</v>
      </c>
    </row>
    <row r="24" spans="1:7" x14ac:dyDescent="0.3">
      <c r="A24" s="141" t="s">
        <v>22</v>
      </c>
      <c r="B24" s="136">
        <f>Table3[[#This Row],[Total UCM at Residential Sector
(€/MWh)]]</f>
        <v>70.173962470504847</v>
      </c>
      <c r="C24" s="136">
        <f>'UCM Services Protected'!DQ24</f>
        <v>63.340252289740505</v>
      </c>
      <c r="D24" s="136">
        <f>Table8[[#This Row],[Total UCM at Services Non-Protected Sector
(€/MWh)]]</f>
        <v>65.246343144234785</v>
      </c>
      <c r="E24" s="136">
        <f>'feedstock UCM Industrial'!L22</f>
        <v>39.959932474096505</v>
      </c>
      <c r="F24" s="136">
        <f>'UCM Power'!O24</f>
        <v>56.948147148490548</v>
      </c>
      <c r="G24" s="132">
        <f>Table103[[#This Row],[Residential Sector]]*'W.F. at Sector Level'!F25+(AVERAGE(Table103[[#This Row],[Services Protected Sector]:[Services Non-Protected Sector]])*'W.F. at Sector Level'!G25)+Table103[[#This Row],[Industrial Sector]]*'W.F. at Sector Level'!H25+Table103[[#This Row],[Power Sector]]*'W.F. at Sector Level'!I25</f>
        <v>59.167878555973651</v>
      </c>
    </row>
    <row r="25" spans="1:7" x14ac:dyDescent="0.3">
      <c r="A25" s="141" t="s">
        <v>23</v>
      </c>
      <c r="B25" s="136">
        <f>Table3[[#This Row],[Total UCM at Residential Sector
(€/MWh)]]</f>
        <v>61.603345479821762</v>
      </c>
      <c r="C25" s="136">
        <f>'UCM Services Protected'!DQ25</f>
        <v>52.370287946778774</v>
      </c>
      <c r="D25" s="136">
        <f>Table8[[#This Row],[Total UCM at Services Non-Protected Sector
(€/MWh)]]</f>
        <v>50.711042679739705</v>
      </c>
      <c r="E25" s="136">
        <f>'feedstock UCM Industrial'!L23</f>
        <v>53.429397412391047</v>
      </c>
      <c r="F25" s="136">
        <f>'UCM Power'!O25</f>
        <v>74.741417759238431</v>
      </c>
      <c r="G25" s="132">
        <f>Table103[[#This Row],[Residential Sector]]*'W.F. at Sector Level'!F26+(AVERAGE(Table103[[#This Row],[Services Protected Sector]:[Services Non-Protected Sector]])*'W.F. at Sector Level'!G26)+Table103[[#This Row],[Industrial Sector]]*'W.F. at Sector Level'!H26+Table103[[#This Row],[Power Sector]]*'W.F. at Sector Level'!I26</f>
        <v>62.748970966502149</v>
      </c>
    </row>
    <row r="26" spans="1:7" x14ac:dyDescent="0.3">
      <c r="A26" s="141" t="s">
        <v>24</v>
      </c>
      <c r="B26" s="136">
        <f>Table3[[#This Row],[Total UCM at Residential Sector
(€/MWh)]]</f>
        <v>146.92473138090173</v>
      </c>
      <c r="C26" s="136">
        <f>'UCM Services Protected'!DQ26</f>
        <v>135.61472793346721</v>
      </c>
      <c r="D26" s="136">
        <f>Table8[[#This Row],[Total UCM at Services Non-Protected Sector
(€/MWh)]]</f>
        <v>126.93871152979909</v>
      </c>
      <c r="E26" s="136">
        <f>'feedstock UCM Industrial'!L24</f>
        <v>70.66182168463169</v>
      </c>
      <c r="F26" s="136">
        <f>'UCM Power'!O26</f>
        <v>52.37628014455953</v>
      </c>
      <c r="G26" s="132">
        <f>Table103[[#This Row],[Residential Sector]]*'W.F. at Sector Level'!F27+(AVERAGE(Table103[[#This Row],[Services Protected Sector]:[Services Non-Protected Sector]])*'W.F. at Sector Level'!G27)+Table103[[#This Row],[Industrial Sector]]*'W.F. at Sector Level'!H27+Table103[[#This Row],[Power Sector]]*'W.F. at Sector Level'!I27</f>
        <v>93.32834948472312</v>
      </c>
    </row>
    <row r="27" spans="1:7" x14ac:dyDescent="0.3">
      <c r="A27" s="141" t="s">
        <v>25</v>
      </c>
      <c r="B27" s="136">
        <f>Table3[[#This Row],[Total UCM at Residential Sector
(€/MWh)]]</f>
        <v>117.57284058203949</v>
      </c>
      <c r="C27" s="136">
        <f>'UCM Services Protected'!DQ27</f>
        <v>107.35624777505961</v>
      </c>
      <c r="D27" s="136">
        <f>Table8[[#This Row],[Total UCM at Services Non-Protected Sector
(€/MWh)]]</f>
        <v>101.19266653737435</v>
      </c>
      <c r="E27" s="136">
        <f>'feedstock UCM Industrial'!L25</f>
        <v>91.548468220089347</v>
      </c>
      <c r="F27" s="136">
        <f>'UCM Power'!O27</f>
        <v>51.976280144559531</v>
      </c>
      <c r="G27" s="132">
        <f>Table103[[#This Row],[Residential Sector]]*'W.F. at Sector Level'!F28+(AVERAGE(Table103[[#This Row],[Services Protected Sector]:[Services Non-Protected Sector]])*'W.F. at Sector Level'!G28)+Table103[[#This Row],[Industrial Sector]]*'W.F. at Sector Level'!H28+Table103[[#This Row],[Power Sector]]*'W.F. at Sector Level'!I28</f>
        <v>88.249365257783111</v>
      </c>
    </row>
    <row r="28" spans="1:7" x14ac:dyDescent="0.3">
      <c r="A28" s="141" t="s">
        <v>41</v>
      </c>
      <c r="B28" s="136">
        <f>Table3[[#This Row],[Total UCM at Residential Sector
(€/MWh)]]</f>
        <v>106.61160744566389</v>
      </c>
      <c r="C28" s="136">
        <f>'UCM Services Protected'!DQ28</f>
        <v>94.504714872141136</v>
      </c>
      <c r="D28" s="136">
        <f>Table8[[#This Row],[Total UCM at Services Non-Protected Sector
(€/MWh)]]</f>
        <v>81.759866936528226</v>
      </c>
      <c r="E28" s="136">
        <f>'feedstock UCM Industrial'!L26</f>
        <v>33.760954670329667</v>
      </c>
      <c r="F28" s="136">
        <f>'UCM Power'!O28</f>
        <v>56.886371887678798</v>
      </c>
      <c r="G28" s="132">
        <f>Table103[[#This Row],[Residential Sector]]*'W.F. at Sector Level'!F29+(AVERAGE(Table103[[#This Row],[Services Protected Sector]:[Services Non-Protected Sector]])*'W.F. at Sector Level'!G29)+Table103[[#This Row],[Industrial Sector]]*'W.F. at Sector Level'!H29+Table103[[#This Row],[Power Sector]]*'W.F. at Sector Level'!I29</f>
        <v>69.05519923185625</v>
      </c>
    </row>
    <row r="29" spans="1:7" x14ac:dyDescent="0.3">
      <c r="A29" s="141" t="s">
        <v>27</v>
      </c>
      <c r="B29" s="136">
        <f>Table3[[#This Row],[Total UCM at Residential Sector
(€/MWh)]]</f>
        <v>118.01922765810474</v>
      </c>
      <c r="C29" s="136">
        <f>'UCM Services Protected'!DQ29</f>
        <v>106.81487635364479</v>
      </c>
      <c r="D29" s="136">
        <f>Table8[[#This Row],[Total UCM at Services Non-Protected Sector
(€/MWh)]]</f>
        <v>98.061526182470928</v>
      </c>
      <c r="E29" s="136">
        <f>'feedstock UCM Industrial'!L27</f>
        <v>56.848013912692821</v>
      </c>
      <c r="F29" s="136">
        <f>'UCM Power'!O29</f>
        <v>58.217564548229269</v>
      </c>
      <c r="G29" s="132">
        <f>Table103[[#This Row],[Residential Sector]]*'W.F. at Sector Level'!F30+(AVERAGE(Table103[[#This Row],[Services Protected Sector]:[Services Non-Protected Sector]])*'W.F. at Sector Level'!G30)+Table103[[#This Row],[Industrial Sector]]*'W.F. at Sector Level'!H30+Table103[[#This Row],[Power Sector]]*'W.F. at Sector Level'!I30</f>
        <v>71.044752980420981</v>
      </c>
    </row>
    <row r="30" spans="1:7" x14ac:dyDescent="0.3">
      <c r="A30" s="26" t="s">
        <v>28</v>
      </c>
      <c r="B30" s="137">
        <f>AVERAGE(Table103[Residential Sector])</f>
        <v>95.575209366496239</v>
      </c>
      <c r="C30" s="137">
        <f>AVERAGE(Table103[Services Protected Sector])</f>
        <v>85.196014378875489</v>
      </c>
      <c r="D30" s="137">
        <f>AVERAGE(Table103[Services Non-Protected Sector])</f>
        <v>79.608999319715167</v>
      </c>
      <c r="E30" s="137">
        <f>AVERAGE(Table103[Industrial Sector])</f>
        <v>58.506397718090128</v>
      </c>
      <c r="F30" s="137">
        <f>AVERAGE(Table103[Power Sector])</f>
        <v>60.244768498549156</v>
      </c>
      <c r="G30" s="137">
        <f>AVERAGE(Table103[Total UCM at Member State Level])</f>
        <v>69.744174145196837</v>
      </c>
    </row>
    <row r="31" spans="1:7" x14ac:dyDescent="0.3">
      <c r="A31" s="26" t="s">
        <v>347</v>
      </c>
      <c r="B31" s="137">
        <f>MEDIAN(Table103[Residential Sector])</f>
        <v>85.408503400251419</v>
      </c>
      <c r="C31" s="137">
        <f>MEDIAN(Table103[Services Protected Sector])</f>
        <v>76.256456478178706</v>
      </c>
      <c r="D31" s="137">
        <f>MEDIAN(Table103[Services Non-Protected Sector])</f>
        <v>71.430943894681121</v>
      </c>
      <c r="E31" s="137">
        <f>MEDIAN(Table103[Industrial Sector])</f>
        <v>52.999288243780249</v>
      </c>
      <c r="F31" s="137">
        <f>MEDIAN(Table103[Power Sector])</f>
        <v>57.582855848359912</v>
      </c>
      <c r="G31" s="137">
        <f>MEDIAN(Table103[Total UCM at Member State Level])</f>
        <v>64.793690234583011</v>
      </c>
    </row>
    <row r="32" spans="1:7" x14ac:dyDescent="0.3">
      <c r="A32" s="26" t="s">
        <v>346</v>
      </c>
      <c r="B32" s="137">
        <f>MAX(Table103[Residential Sector])</f>
        <v>157.19464705250581</v>
      </c>
      <c r="C32" s="137">
        <f>MAX(Table103[Services Protected Sector])</f>
        <v>144.88568709208627</v>
      </c>
      <c r="D32" s="137">
        <f>MAX(Table103[Services Non-Protected Sector])</f>
        <v>133.22202127681135</v>
      </c>
      <c r="E32" s="137">
        <f>MAX(Table103[Industrial Sector])</f>
        <v>110.60729246372313</v>
      </c>
      <c r="F32" s="137">
        <f>MAX(Table103[Power Sector])</f>
        <v>86.535513005050689</v>
      </c>
      <c r="G32" s="137">
        <f>MAX(Table103[Total UCM at Member State Level])</f>
        <v>114.14005811659615</v>
      </c>
    </row>
    <row r="33" spans="1:7" x14ac:dyDescent="0.3">
      <c r="A33" s="26" t="s">
        <v>348</v>
      </c>
      <c r="B33" s="137">
        <f>MIN(Table103[Residential Sector])</f>
        <v>61.603345479821762</v>
      </c>
      <c r="C33" s="137">
        <f>MIN(Table103[Services Protected Sector])</f>
        <v>43.924225498941567</v>
      </c>
      <c r="D33" s="137">
        <f>MIN(Table103[Services Non-Protected Sector])</f>
        <v>40.525945396905506</v>
      </c>
      <c r="E33" s="137">
        <f>MIN(Table103[Industrial Sector])</f>
        <v>33.760954670329667</v>
      </c>
      <c r="F33" s="137">
        <f>MIN(Table103[Power Sector])</f>
        <v>47.287289318871466</v>
      </c>
      <c r="G33" s="137">
        <f>MIN(Table103[Total UCM at Member State Level])</f>
        <v>44.904347734509614</v>
      </c>
    </row>
  </sheetData>
  <mergeCells count="3">
    <mergeCell ref="A1:A2"/>
    <mergeCell ref="B1:F2"/>
    <mergeCell ref="G1:G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6"/>
  <sheetViews>
    <sheetView showGridLines="0" topLeftCell="A2" zoomScale="70" zoomScaleNormal="70" workbookViewId="0">
      <selection activeCell="A30" sqref="A30"/>
    </sheetView>
  </sheetViews>
  <sheetFormatPr defaultRowHeight="15" x14ac:dyDescent="0.25"/>
  <cols>
    <col min="1" max="1" width="20.7109375" style="20" customWidth="1"/>
    <col min="2" max="13" width="20.7109375" customWidth="1"/>
  </cols>
  <sheetData>
    <row r="1" spans="1:13" s="22" customFormat="1" ht="50.1" customHeight="1" x14ac:dyDescent="0.25">
      <c r="A1" s="238" t="s">
        <v>29</v>
      </c>
      <c r="B1" s="240" t="s">
        <v>80</v>
      </c>
      <c r="C1" s="240"/>
      <c r="D1" s="240" t="s">
        <v>81</v>
      </c>
      <c r="E1" s="240"/>
      <c r="F1" s="240" t="s">
        <v>82</v>
      </c>
      <c r="G1" s="240" t="s">
        <v>83</v>
      </c>
      <c r="H1" s="240" t="s">
        <v>84</v>
      </c>
      <c r="I1" s="240" t="s">
        <v>85</v>
      </c>
      <c r="J1" s="240"/>
      <c r="K1" s="240" t="s">
        <v>86</v>
      </c>
      <c r="L1" s="240" t="s">
        <v>87</v>
      </c>
      <c r="M1" s="240" t="s">
        <v>88</v>
      </c>
    </row>
    <row r="2" spans="1:13" s="22" customFormat="1" ht="50.1" customHeight="1" x14ac:dyDescent="0.25">
      <c r="A2" s="239"/>
      <c r="B2" s="16" t="s">
        <v>0</v>
      </c>
      <c r="C2" s="16" t="s">
        <v>1</v>
      </c>
      <c r="D2" s="16" t="s">
        <v>0</v>
      </c>
      <c r="E2" s="16" t="s">
        <v>1</v>
      </c>
      <c r="F2" s="240"/>
      <c r="G2" s="240"/>
      <c r="H2" s="240"/>
      <c r="I2" s="16" t="s">
        <v>0</v>
      </c>
      <c r="J2" s="16" t="s">
        <v>1</v>
      </c>
      <c r="K2" s="240"/>
      <c r="L2" s="240"/>
      <c r="M2" s="240"/>
    </row>
    <row r="3" spans="1:13" ht="15.75" x14ac:dyDescent="0.25">
      <c r="A3" s="19" t="s">
        <v>2</v>
      </c>
      <c r="B3" s="49">
        <v>6.4699999999999994E-2</v>
      </c>
      <c r="C3" s="49">
        <v>3.2500000000000001E-2</v>
      </c>
      <c r="D3" s="49">
        <v>0.24390000000000001</v>
      </c>
      <c r="E3" s="49">
        <v>8.1600000000000006E-2</v>
      </c>
      <c r="F3" s="49">
        <v>0.14168654747834541</v>
      </c>
      <c r="G3" s="49">
        <v>7.3849141117371869E-2</v>
      </c>
      <c r="H3" s="49">
        <f t="shared" ref="H3:H8" si="0">$H$29</f>
        <v>4.4999999999999998E-2</v>
      </c>
      <c r="I3" s="49">
        <f t="shared" ref="I3:I12" si="1">D3-B3</f>
        <v>0.17920000000000003</v>
      </c>
      <c r="J3" s="49">
        <f>E3-C3</f>
        <v>4.9100000000000005E-2</v>
      </c>
      <c r="K3" s="49">
        <f>F3-B3</f>
        <v>7.6986547478345421E-2</v>
      </c>
      <c r="L3" s="49">
        <f>G3-C3</f>
        <v>4.1349141117371868E-2</v>
      </c>
      <c r="M3" s="49">
        <f>H3-B3</f>
        <v>-1.9699999999999995E-2</v>
      </c>
    </row>
    <row r="4" spans="1:13" ht="15.75" x14ac:dyDescent="0.25">
      <c r="A4" s="19" t="s">
        <v>3</v>
      </c>
      <c r="B4" s="50">
        <v>9.7000000000000003E-2</v>
      </c>
      <c r="C4" s="50">
        <v>4.1300000000000003E-2</v>
      </c>
      <c r="D4" s="50">
        <v>0.15479999999999999</v>
      </c>
      <c r="E4" s="50">
        <v>6.4799999999999996E-2</v>
      </c>
      <c r="F4" s="50">
        <v>0.12105067656139483</v>
      </c>
      <c r="G4" s="50">
        <v>7.5828558950675334E-2</v>
      </c>
      <c r="H4" s="50">
        <f t="shared" si="0"/>
        <v>4.4999999999999998E-2</v>
      </c>
      <c r="I4" s="50">
        <f>D4-B4</f>
        <v>5.779999999999999E-2</v>
      </c>
      <c r="J4" s="50">
        <f t="shared" ref="J4:J28" si="2">E4-C4</f>
        <v>2.3499999999999993E-2</v>
      </c>
      <c r="K4" s="50">
        <f t="shared" ref="K4:K28" si="3">F4-B4</f>
        <v>2.4050676561394826E-2</v>
      </c>
      <c r="L4" s="50">
        <f t="shared" ref="L4:L28" si="4">G4-C4</f>
        <v>3.4528558950675331E-2</v>
      </c>
      <c r="M4" s="50">
        <f t="shared" ref="M4:M28" si="5">H4-B4</f>
        <v>-5.2000000000000005E-2</v>
      </c>
    </row>
    <row r="5" spans="1:13" ht="15.75" x14ac:dyDescent="0.25">
      <c r="A5" s="19" t="s">
        <v>4</v>
      </c>
      <c r="B5" s="49">
        <f>B29</f>
        <v>4.7291666666666669E-2</v>
      </c>
      <c r="C5" s="49">
        <v>4.6300000000000001E-2</v>
      </c>
      <c r="D5" s="49">
        <v>0.1275</v>
      </c>
      <c r="E5" s="49">
        <v>6.6699999999999995E-2</v>
      </c>
      <c r="F5" s="49">
        <v>0.10694736842105264</v>
      </c>
      <c r="G5" s="49">
        <f>G4</f>
        <v>7.5828558950675334E-2</v>
      </c>
      <c r="H5" s="49">
        <f t="shared" si="0"/>
        <v>4.4999999999999998E-2</v>
      </c>
      <c r="I5" s="49">
        <f t="shared" si="1"/>
        <v>8.0208333333333326E-2</v>
      </c>
      <c r="J5" s="49">
        <f t="shared" si="2"/>
        <v>2.0399999999999995E-2</v>
      </c>
      <c r="K5" s="49">
        <f t="shared" si="3"/>
        <v>5.9655701754385969E-2</v>
      </c>
      <c r="L5" s="49">
        <f t="shared" si="4"/>
        <v>2.9528558950675333E-2</v>
      </c>
      <c r="M5" s="49">
        <f t="shared" si="5"/>
        <v>-2.291666666666671E-3</v>
      </c>
    </row>
    <row r="6" spans="1:13" ht="15.75" x14ac:dyDescent="0.25">
      <c r="A6" s="19" t="s">
        <v>5</v>
      </c>
      <c r="B6" s="50">
        <v>3.6200000000000003E-2</v>
      </c>
      <c r="C6" s="50">
        <v>2.76E-2</v>
      </c>
      <c r="D6" s="31">
        <v>0.1075</v>
      </c>
      <c r="E6" s="31">
        <v>8.6999999999999994E-2</v>
      </c>
      <c r="F6" s="50">
        <v>8.2631578947368431E-2</v>
      </c>
      <c r="G6" s="50">
        <f>G8</f>
        <v>2.9700917431192662E-2</v>
      </c>
      <c r="H6" s="50">
        <f t="shared" si="0"/>
        <v>4.4999999999999998E-2</v>
      </c>
      <c r="I6" s="50">
        <f t="shared" si="1"/>
        <v>7.1300000000000002E-2</v>
      </c>
      <c r="J6" s="50">
        <f t="shared" si="2"/>
        <v>5.9399999999999994E-2</v>
      </c>
      <c r="K6" s="50">
        <f t="shared" si="3"/>
        <v>4.6431578947368428E-2</v>
      </c>
      <c r="L6" s="50">
        <f t="shared" si="4"/>
        <v>2.1009174311926622E-3</v>
      </c>
      <c r="M6" s="50">
        <f t="shared" si="5"/>
        <v>8.7999999999999953E-3</v>
      </c>
    </row>
    <row r="7" spans="1:13" ht="15.75" x14ac:dyDescent="0.25">
      <c r="A7" s="19" t="s">
        <v>6</v>
      </c>
      <c r="B7" s="49">
        <v>3.1199999999999999E-2</v>
      </c>
      <c r="C7" s="49">
        <v>2.7E-2</v>
      </c>
      <c r="D7" s="49">
        <v>0.13100000000000001</v>
      </c>
      <c r="E7" s="49">
        <v>0.1179</v>
      </c>
      <c r="F7" s="49">
        <v>7.0934736842105273E-2</v>
      </c>
      <c r="G7" s="49">
        <f>G8</f>
        <v>2.9700917431192662E-2</v>
      </c>
      <c r="H7" s="49">
        <f t="shared" si="0"/>
        <v>4.4999999999999998E-2</v>
      </c>
      <c r="I7" s="49">
        <f t="shared" si="1"/>
        <v>9.98E-2</v>
      </c>
      <c r="J7" s="49">
        <f t="shared" si="2"/>
        <v>9.0900000000000009E-2</v>
      </c>
      <c r="K7" s="49">
        <f t="shared" si="3"/>
        <v>3.9734736842105274E-2</v>
      </c>
      <c r="L7" s="49">
        <f t="shared" si="4"/>
        <v>2.700917431192662E-3</v>
      </c>
      <c r="M7" s="49">
        <f t="shared" si="5"/>
        <v>1.38E-2</v>
      </c>
    </row>
    <row r="8" spans="1:13" ht="15.75" x14ac:dyDescent="0.25">
      <c r="A8" s="19" t="s">
        <v>7</v>
      </c>
      <c r="B8" s="50">
        <v>3.0200000000000001E-2</v>
      </c>
      <c r="C8" s="50">
        <v>2.46E-2</v>
      </c>
      <c r="D8" s="50">
        <v>9.2200000000000004E-2</v>
      </c>
      <c r="E8" s="50">
        <v>8.3699999999999997E-2</v>
      </c>
      <c r="F8" s="50">
        <v>7.1578947368421061E-2</v>
      </c>
      <c r="G8" s="50">
        <v>2.9700917431192662E-2</v>
      </c>
      <c r="H8" s="50">
        <f t="shared" si="0"/>
        <v>4.4999999999999998E-2</v>
      </c>
      <c r="I8" s="50">
        <f t="shared" si="1"/>
        <v>6.2E-2</v>
      </c>
      <c r="J8" s="50">
        <f t="shared" si="2"/>
        <v>5.91E-2</v>
      </c>
      <c r="K8" s="50">
        <f t="shared" si="3"/>
        <v>4.1378947368421057E-2</v>
      </c>
      <c r="L8" s="50">
        <f t="shared" si="4"/>
        <v>5.1009174311926614E-3</v>
      </c>
      <c r="M8" s="50">
        <f t="shared" si="5"/>
        <v>1.4799999999999997E-2</v>
      </c>
    </row>
    <row r="9" spans="1:13" ht="15.75" x14ac:dyDescent="0.25">
      <c r="A9" s="19" t="s">
        <v>8</v>
      </c>
      <c r="B9" s="49">
        <v>4.9599999999999998E-2</v>
      </c>
      <c r="C9" s="49">
        <v>2.8299999999999999E-2</v>
      </c>
      <c r="D9" s="49">
        <v>0.1739</v>
      </c>
      <c r="E9" s="49">
        <v>0.10730000000000001</v>
      </c>
      <c r="F9" s="49">
        <v>0.10789473684210525</v>
      </c>
      <c r="G9" s="49">
        <v>4.1611926605504584E-2</v>
      </c>
      <c r="H9" s="49">
        <v>5.5437500000000001E-2</v>
      </c>
      <c r="I9" s="49">
        <f t="shared" si="1"/>
        <v>0.12429999999999999</v>
      </c>
      <c r="J9" s="49">
        <f t="shared" si="2"/>
        <v>7.9000000000000015E-2</v>
      </c>
      <c r="K9" s="49">
        <f t="shared" si="3"/>
        <v>5.8294736842105253E-2</v>
      </c>
      <c r="L9" s="49">
        <f t="shared" si="4"/>
        <v>1.3311926605504586E-2</v>
      </c>
      <c r="M9" s="49">
        <f t="shared" si="5"/>
        <v>5.8375000000000024E-3</v>
      </c>
    </row>
    <row r="10" spans="1:13" ht="15.75" x14ac:dyDescent="0.25">
      <c r="A10" s="19" t="s">
        <v>9</v>
      </c>
      <c r="B10" s="50">
        <v>6.0299999999999999E-2</v>
      </c>
      <c r="C10" s="50">
        <v>2.7099999999999999E-2</v>
      </c>
      <c r="D10" s="50">
        <v>0.1943</v>
      </c>
      <c r="E10" s="50">
        <v>0.1477</v>
      </c>
      <c r="F10" s="50">
        <v>0.13303473684210526</v>
      </c>
      <c r="G10" s="50">
        <v>3.8847706422018347E-2</v>
      </c>
      <c r="H10" s="50">
        <v>5.6020833333333332E-2</v>
      </c>
      <c r="I10" s="50">
        <f t="shared" si="1"/>
        <v>0.13400000000000001</v>
      </c>
      <c r="J10" s="50">
        <f t="shared" si="2"/>
        <v>0.1206</v>
      </c>
      <c r="K10" s="50">
        <f t="shared" si="3"/>
        <v>7.2734736842105269E-2</v>
      </c>
      <c r="L10" s="50">
        <f t="shared" si="4"/>
        <v>1.1747706422018347E-2</v>
      </c>
      <c r="M10" s="50">
        <f t="shared" si="5"/>
        <v>-4.2791666666666672E-3</v>
      </c>
    </row>
    <row r="11" spans="1:13" ht="15.75" x14ac:dyDescent="0.25">
      <c r="A11" s="19" t="s">
        <v>10</v>
      </c>
      <c r="B11" s="49">
        <v>5.5100000000000003E-2</v>
      </c>
      <c r="C11" s="49">
        <v>2.9899999999999999E-2</v>
      </c>
      <c r="D11" s="49">
        <v>0.1898</v>
      </c>
      <c r="E11" s="49">
        <v>0.1061</v>
      </c>
      <c r="F11" s="49">
        <v>7.567368421052631E-2</v>
      </c>
      <c r="G11" s="49">
        <v>3.5921100917431191E-2</v>
      </c>
      <c r="H11" s="49">
        <f>$H$29</f>
        <v>4.4999999999999998E-2</v>
      </c>
      <c r="I11" s="49">
        <f t="shared" si="1"/>
        <v>0.13469999999999999</v>
      </c>
      <c r="J11" s="49">
        <f t="shared" si="2"/>
        <v>7.6200000000000004E-2</v>
      </c>
      <c r="K11" s="49">
        <f t="shared" si="3"/>
        <v>2.0573684210526307E-2</v>
      </c>
      <c r="L11" s="49">
        <f t="shared" si="4"/>
        <v>6.0211009174311915E-3</v>
      </c>
      <c r="M11" s="49">
        <f t="shared" si="5"/>
        <v>-1.0100000000000005E-2</v>
      </c>
    </row>
    <row r="12" spans="1:13" ht="15.75" x14ac:dyDescent="0.25">
      <c r="A12" s="19" t="s">
        <v>11</v>
      </c>
      <c r="B12" s="50">
        <v>6.2899999999999998E-2</v>
      </c>
      <c r="C12" s="50">
        <v>2.7900000000000001E-2</v>
      </c>
      <c r="D12" s="50">
        <v>0.1857</v>
      </c>
      <c r="E12" s="50">
        <v>0.1145</v>
      </c>
      <c r="F12" s="50">
        <v>0.11926315789473685</v>
      </c>
      <c r="G12" s="50">
        <v>5.5047706422018346E-2</v>
      </c>
      <c r="H12" s="50">
        <f>$H$29</f>
        <v>4.4999999999999998E-2</v>
      </c>
      <c r="I12" s="50">
        <f t="shared" si="1"/>
        <v>0.12280000000000001</v>
      </c>
      <c r="J12" s="50">
        <f t="shared" si="2"/>
        <v>8.660000000000001E-2</v>
      </c>
      <c r="K12" s="50">
        <f t="shared" si="3"/>
        <v>5.6363157894736851E-2</v>
      </c>
      <c r="L12" s="50">
        <f t="shared" si="4"/>
        <v>2.7147706422018344E-2</v>
      </c>
      <c r="M12" s="50">
        <f t="shared" si="5"/>
        <v>-1.7899999999999999E-2</v>
      </c>
    </row>
    <row r="13" spans="1:13" ht="15.75" x14ac:dyDescent="0.25">
      <c r="A13" s="19" t="s">
        <v>12</v>
      </c>
      <c r="B13" s="49">
        <v>2.87E-2</v>
      </c>
      <c r="C13" s="49">
        <v>2.46E-2</v>
      </c>
      <c r="D13" s="49">
        <v>0.10580000000000001</v>
      </c>
      <c r="E13" s="49">
        <v>8.7400000000000005E-2</v>
      </c>
      <c r="F13" s="49">
        <v>7.5403082605298669E-2</v>
      </c>
      <c r="G13" s="49">
        <v>4.5883940620782715E-2</v>
      </c>
      <c r="H13" s="49">
        <f>$H$29</f>
        <v>4.4999999999999998E-2</v>
      </c>
      <c r="I13" s="49">
        <f>D13-B13</f>
        <v>7.7100000000000002E-2</v>
      </c>
      <c r="J13" s="49">
        <f t="shared" si="2"/>
        <v>6.2800000000000009E-2</v>
      </c>
      <c r="K13" s="49">
        <f t="shared" si="3"/>
        <v>4.6703082605298665E-2</v>
      </c>
      <c r="L13" s="49">
        <f t="shared" si="4"/>
        <v>2.1283940620782715E-2</v>
      </c>
      <c r="M13" s="49">
        <f t="shared" si="5"/>
        <v>1.6299999999999999E-2</v>
      </c>
    </row>
    <row r="14" spans="1:13" ht="15.75" x14ac:dyDescent="0.25">
      <c r="A14" s="19" t="s">
        <v>13</v>
      </c>
      <c r="B14" s="50">
        <v>2.5399999999999999E-2</v>
      </c>
      <c r="C14" s="50">
        <v>2.5499999999999998E-2</v>
      </c>
      <c r="D14" s="31">
        <v>0.10059999999999999</v>
      </c>
      <c r="E14" s="31">
        <v>7.6899999999999996E-2</v>
      </c>
      <c r="F14" s="50">
        <v>0.10156785966718833</v>
      </c>
      <c r="G14" s="50">
        <v>3.6047366169080206E-2</v>
      </c>
      <c r="H14" s="50">
        <f>$H$29</f>
        <v>4.4999999999999998E-2</v>
      </c>
      <c r="I14" s="50">
        <f t="shared" ref="I14:I28" si="6">D14-B14</f>
        <v>7.5199999999999989E-2</v>
      </c>
      <c r="J14" s="50">
        <f t="shared" si="2"/>
        <v>5.1400000000000001E-2</v>
      </c>
      <c r="K14" s="50">
        <f t="shared" si="3"/>
        <v>7.6167859667188337E-2</v>
      </c>
      <c r="L14" s="50">
        <f t="shared" si="4"/>
        <v>1.0547366169080207E-2</v>
      </c>
      <c r="M14" s="50">
        <f t="shared" si="5"/>
        <v>1.9599999999999999E-2</v>
      </c>
    </row>
    <row r="15" spans="1:13" ht="15.75" x14ac:dyDescent="0.25">
      <c r="A15" s="19" t="s">
        <v>14</v>
      </c>
      <c r="B15" s="49">
        <v>2.75E-2</v>
      </c>
      <c r="C15" s="49">
        <v>2.18E-2</v>
      </c>
      <c r="D15" s="49">
        <v>7.9600000000000004E-2</v>
      </c>
      <c r="E15" s="49">
        <v>7.6300000000000007E-2</v>
      </c>
      <c r="F15" s="49">
        <v>0.10444507833649981</v>
      </c>
      <c r="G15" s="49">
        <f>G14</f>
        <v>3.6047366169080206E-2</v>
      </c>
      <c r="H15" s="49">
        <v>3.2125000000000001E-2</v>
      </c>
      <c r="I15" s="49">
        <f t="shared" si="6"/>
        <v>5.2100000000000007E-2</v>
      </c>
      <c r="J15" s="49">
        <f t="shared" si="2"/>
        <v>5.4500000000000007E-2</v>
      </c>
      <c r="K15" s="49">
        <f t="shared" si="3"/>
        <v>7.6945078336499814E-2</v>
      </c>
      <c r="L15" s="49">
        <f t="shared" si="4"/>
        <v>1.4247366169080206E-2</v>
      </c>
      <c r="M15" s="49">
        <f t="shared" si="5"/>
        <v>4.6250000000000006E-3</v>
      </c>
    </row>
    <row r="16" spans="1:13" ht="15.75" x14ac:dyDescent="0.25">
      <c r="A16" s="19" t="s">
        <v>15</v>
      </c>
      <c r="B16" s="50">
        <v>3.39E-2</v>
      </c>
      <c r="C16" s="50">
        <v>2.7300000000000001E-2</v>
      </c>
      <c r="D16" s="50">
        <v>0.11849999999999999</v>
      </c>
      <c r="E16" s="50">
        <v>8.77E-2</v>
      </c>
      <c r="F16" s="50">
        <v>8.1602857228249503E-2</v>
      </c>
      <c r="G16" s="50">
        <v>3.6432637488777397E-2</v>
      </c>
      <c r="H16" s="50">
        <f>$H$29</f>
        <v>4.4999999999999998E-2</v>
      </c>
      <c r="I16" s="50">
        <f t="shared" si="6"/>
        <v>8.4599999999999995E-2</v>
      </c>
      <c r="J16" s="50">
        <f t="shared" si="2"/>
        <v>6.0399999999999995E-2</v>
      </c>
      <c r="K16" s="50">
        <f t="shared" si="3"/>
        <v>4.7702857228249504E-2</v>
      </c>
      <c r="L16" s="50">
        <f t="shared" si="4"/>
        <v>9.132637488777396E-3</v>
      </c>
      <c r="M16" s="50">
        <f t="shared" si="5"/>
        <v>1.1099999999999999E-2</v>
      </c>
    </row>
    <row r="17" spans="1:13" ht="15.75" x14ac:dyDescent="0.25">
      <c r="A17" s="19" t="s">
        <v>16</v>
      </c>
      <c r="B17" s="49">
        <v>3.5099999999999999E-2</v>
      </c>
      <c r="C17" s="49">
        <v>2.8199999999999999E-2</v>
      </c>
      <c r="D17" s="49">
        <v>0.1196</v>
      </c>
      <c r="E17" s="49">
        <v>0.1148</v>
      </c>
      <c r="F17" s="49">
        <f>F18</f>
        <v>9.833789473684211E-2</v>
      </c>
      <c r="G17" s="49">
        <v>4.612568807339449E-2</v>
      </c>
      <c r="H17" s="49">
        <f>$H$29</f>
        <v>4.4999999999999998E-2</v>
      </c>
      <c r="I17" s="49">
        <f t="shared" si="6"/>
        <v>8.4499999999999992E-2</v>
      </c>
      <c r="J17" s="49">
        <f t="shared" si="2"/>
        <v>8.6599999999999996E-2</v>
      </c>
      <c r="K17" s="49">
        <f t="shared" si="3"/>
        <v>6.3237894736842104E-2</v>
      </c>
      <c r="L17" s="49">
        <f t="shared" si="4"/>
        <v>1.7925688073394491E-2</v>
      </c>
      <c r="M17" s="49">
        <f t="shared" si="5"/>
        <v>9.8999999999999991E-3</v>
      </c>
    </row>
    <row r="18" spans="1:13" ht="15.75" x14ac:dyDescent="0.25">
      <c r="A18" s="19" t="s">
        <v>17</v>
      </c>
      <c r="B18" s="50">
        <v>4.53E-2</v>
      </c>
      <c r="C18" s="50">
        <v>3.09E-2</v>
      </c>
      <c r="D18" s="50">
        <v>0.13189999999999999</v>
      </c>
      <c r="E18" s="50">
        <v>7.8399999999999997E-2</v>
      </c>
      <c r="F18" s="50">
        <v>9.833789473684211E-2</v>
      </c>
      <c r="G18" s="50">
        <v>5.1111926605504593E-2</v>
      </c>
      <c r="H18" s="50">
        <f>$H$29</f>
        <v>4.4999999999999998E-2</v>
      </c>
      <c r="I18" s="50">
        <f t="shared" si="6"/>
        <v>8.6599999999999983E-2</v>
      </c>
      <c r="J18" s="50">
        <f t="shared" si="2"/>
        <v>4.7500000000000001E-2</v>
      </c>
      <c r="K18" s="50">
        <f t="shared" si="3"/>
        <v>5.303789473684211E-2</v>
      </c>
      <c r="L18" s="50">
        <f t="shared" si="4"/>
        <v>2.0211926605504592E-2</v>
      </c>
      <c r="M18" s="50">
        <f t="shared" si="5"/>
        <v>-3.0000000000000165E-4</v>
      </c>
    </row>
    <row r="19" spans="1:13" ht="15.75" x14ac:dyDescent="0.25">
      <c r="A19" s="19" t="s">
        <v>18</v>
      </c>
      <c r="B19" s="49">
        <v>4.5400000000000003E-2</v>
      </c>
      <c r="C19" s="49">
        <v>2.3800000000000002E-2</v>
      </c>
      <c r="D19" s="49">
        <v>0.1188</v>
      </c>
      <c r="E19" s="49">
        <v>6.88E-2</v>
      </c>
      <c r="F19" s="49">
        <v>7.4061710536618752E-2</v>
      </c>
      <c r="G19" s="49">
        <v>3.1802269907667817E-2</v>
      </c>
      <c r="H19" s="49">
        <v>2.6666666666666668E-2</v>
      </c>
      <c r="I19" s="49">
        <f t="shared" si="6"/>
        <v>7.3399999999999993E-2</v>
      </c>
      <c r="J19" s="49">
        <f t="shared" si="2"/>
        <v>4.4999999999999998E-2</v>
      </c>
      <c r="K19" s="49">
        <f t="shared" si="3"/>
        <v>2.8661710536618749E-2</v>
      </c>
      <c r="L19" s="49">
        <f t="shared" si="4"/>
        <v>8.0022699076678153E-3</v>
      </c>
      <c r="M19" s="49">
        <f t="shared" si="5"/>
        <v>-1.8733333333333334E-2</v>
      </c>
    </row>
    <row r="20" spans="1:13" ht="15.75" x14ac:dyDescent="0.25">
      <c r="A20" s="19" t="s">
        <v>19</v>
      </c>
      <c r="B20" s="50">
        <v>5.1400000000000001E-2</v>
      </c>
      <c r="C20" s="50">
        <v>3.1699999999999999E-2</v>
      </c>
      <c r="D20" s="50">
        <v>0.25609999999999999</v>
      </c>
      <c r="E20" s="50">
        <v>0.15190000000000001</v>
      </c>
      <c r="F20" s="50">
        <v>7.2631578947368422E-2</v>
      </c>
      <c r="G20" s="50">
        <f>G28</f>
        <v>4.6231192660550466E-2</v>
      </c>
      <c r="H20" s="50">
        <v>4.4124999999999998E-2</v>
      </c>
      <c r="I20" s="50">
        <f t="shared" si="6"/>
        <v>0.20469999999999999</v>
      </c>
      <c r="J20" s="50">
        <f t="shared" si="2"/>
        <v>0.1202</v>
      </c>
      <c r="K20" s="50">
        <f t="shared" si="3"/>
        <v>2.1231578947368421E-2</v>
      </c>
      <c r="L20" s="50">
        <f t="shared" si="4"/>
        <v>1.4531192660550467E-2</v>
      </c>
      <c r="M20" s="50">
        <f t="shared" si="5"/>
        <v>-7.2750000000000037E-3</v>
      </c>
    </row>
    <row r="21" spans="1:13" ht="15.75" x14ac:dyDescent="0.25">
      <c r="A21" s="19" t="s">
        <v>20</v>
      </c>
      <c r="B21" s="49">
        <v>5.62E-2</v>
      </c>
      <c r="C21" s="49">
        <v>3.3599999999999998E-2</v>
      </c>
      <c r="D21" s="49">
        <v>0.16250000000000001</v>
      </c>
      <c r="E21" s="49">
        <v>9.2999999999999999E-2</v>
      </c>
      <c r="F21" s="49">
        <v>8.1987368421052628E-2</v>
      </c>
      <c r="G21" s="49">
        <v>3.8963302752293573E-2</v>
      </c>
      <c r="H21" s="49">
        <v>4.2187500000000003E-2</v>
      </c>
      <c r="I21" s="49">
        <f t="shared" si="6"/>
        <v>0.10630000000000001</v>
      </c>
      <c r="J21" s="49">
        <f t="shared" si="2"/>
        <v>5.9400000000000001E-2</v>
      </c>
      <c r="K21" s="49">
        <f t="shared" si="3"/>
        <v>2.5787368421052628E-2</v>
      </c>
      <c r="L21" s="49">
        <f t="shared" si="4"/>
        <v>5.363302752293575E-3</v>
      </c>
      <c r="M21" s="49">
        <f t="shared" si="5"/>
        <v>-1.4012499999999997E-2</v>
      </c>
    </row>
    <row r="22" spans="1:13" ht="15.75" x14ac:dyDescent="0.25">
      <c r="A22" s="19" t="s">
        <v>21</v>
      </c>
      <c r="B22" s="50">
        <v>5.4699999999999999E-2</v>
      </c>
      <c r="C22" s="50">
        <v>3.2599999999999997E-2</v>
      </c>
      <c r="D22" s="50">
        <v>0.14410000000000001</v>
      </c>
      <c r="E22" s="50">
        <v>9.9199999999999997E-2</v>
      </c>
      <c r="F22" s="50">
        <v>9.3470526315789476E-2</v>
      </c>
      <c r="G22" s="50">
        <v>4.9307339449541292E-2</v>
      </c>
      <c r="H22" s="50">
        <v>4.1666666666666671E-2</v>
      </c>
      <c r="I22" s="50">
        <f t="shared" si="6"/>
        <v>8.9400000000000007E-2</v>
      </c>
      <c r="J22" s="50">
        <f t="shared" si="2"/>
        <v>6.6599999999999993E-2</v>
      </c>
      <c r="K22" s="50">
        <f t="shared" si="3"/>
        <v>3.8770526315789478E-2</v>
      </c>
      <c r="L22" s="50">
        <f t="shared" si="4"/>
        <v>1.6707339449541295E-2</v>
      </c>
      <c r="M22" s="50">
        <f t="shared" si="5"/>
        <v>-1.3033333333333327E-2</v>
      </c>
    </row>
    <row r="23" spans="1:13" ht="15.75" x14ac:dyDescent="0.25">
      <c r="A23" s="19" t="s">
        <v>22</v>
      </c>
      <c r="B23" s="49">
        <v>2.7699999999999999E-2</v>
      </c>
      <c r="C23" s="49">
        <v>2.6100000000000002E-2</v>
      </c>
      <c r="D23" s="49">
        <v>8.8599999999999998E-2</v>
      </c>
      <c r="E23" s="49">
        <v>7.3999999999999996E-2</v>
      </c>
      <c r="F23" s="49">
        <v>0.12857796876180244</v>
      </c>
      <c r="G23" s="49">
        <v>3.7861775260811747E-2</v>
      </c>
      <c r="H23" s="49">
        <f>$H$29</f>
        <v>4.4999999999999998E-2</v>
      </c>
      <c r="I23" s="49">
        <f t="shared" si="6"/>
        <v>6.0899999999999996E-2</v>
      </c>
      <c r="J23" s="49">
        <f t="shared" si="2"/>
        <v>4.7899999999999998E-2</v>
      </c>
      <c r="K23" s="49">
        <f t="shared" si="3"/>
        <v>0.10087796876180244</v>
      </c>
      <c r="L23" s="49">
        <f t="shared" si="4"/>
        <v>1.1761775260811746E-2</v>
      </c>
      <c r="M23" s="49">
        <f t="shared" si="5"/>
        <v>1.7299999999999999E-2</v>
      </c>
    </row>
    <row r="24" spans="1:13" ht="15.75" x14ac:dyDescent="0.25">
      <c r="A24" s="19" t="s">
        <v>23</v>
      </c>
      <c r="B24" s="50">
        <v>6.3100000000000003E-2</v>
      </c>
      <c r="C24" s="50">
        <v>3.6499999999999998E-2</v>
      </c>
      <c r="D24" s="50">
        <v>0.12909999999999999</v>
      </c>
      <c r="E24" s="50">
        <v>8.2199999999999995E-2</v>
      </c>
      <c r="F24" s="50">
        <v>0.11294736842105263</v>
      </c>
      <c r="G24" s="50">
        <v>6.6055045871559623E-2</v>
      </c>
      <c r="H24" s="50">
        <f>$H$29</f>
        <v>4.4999999999999998E-2</v>
      </c>
      <c r="I24" s="50">
        <f t="shared" si="6"/>
        <v>6.5999999999999989E-2</v>
      </c>
      <c r="J24" s="50">
        <f t="shared" si="2"/>
        <v>4.5699999999999998E-2</v>
      </c>
      <c r="K24" s="50">
        <f t="shared" si="3"/>
        <v>4.9847368421052626E-2</v>
      </c>
      <c r="L24" s="50">
        <f t="shared" si="4"/>
        <v>2.9555045871559625E-2</v>
      </c>
      <c r="M24" s="50">
        <f t="shared" si="5"/>
        <v>-1.8100000000000005E-2</v>
      </c>
    </row>
    <row r="25" spans="1:13" ht="15.75" x14ac:dyDescent="0.25">
      <c r="A25" s="19" t="s">
        <v>24</v>
      </c>
      <c r="B25" s="49">
        <v>4.2999999999999997E-2</v>
      </c>
      <c r="C25" s="49">
        <v>2.4400000000000002E-2</v>
      </c>
      <c r="D25" s="49">
        <v>0.23449999999999999</v>
      </c>
      <c r="E25" s="49">
        <v>0.11269999999999999</v>
      </c>
      <c r="F25" s="49">
        <v>6.9484210526315787E-2</v>
      </c>
      <c r="G25" s="49">
        <v>3.1589908256880732E-2</v>
      </c>
      <c r="H25" s="49">
        <v>4.8562500000000001E-2</v>
      </c>
      <c r="I25" s="49">
        <f t="shared" si="6"/>
        <v>0.1915</v>
      </c>
      <c r="J25" s="49">
        <f t="shared" si="2"/>
        <v>8.829999999999999E-2</v>
      </c>
      <c r="K25" s="49">
        <f t="shared" si="3"/>
        <v>2.6484210526315791E-2</v>
      </c>
      <c r="L25" s="49">
        <f t="shared" si="4"/>
        <v>7.1899082568807303E-3</v>
      </c>
      <c r="M25" s="49">
        <f t="shared" si="5"/>
        <v>5.5625000000000049E-3</v>
      </c>
    </row>
    <row r="26" spans="1:13" ht="15.75" x14ac:dyDescent="0.25">
      <c r="A26" s="19" t="s">
        <v>25</v>
      </c>
      <c r="B26" s="50">
        <v>4.4699999999999997E-2</v>
      </c>
      <c r="C26" s="50">
        <v>2.4799999999999999E-2</v>
      </c>
      <c r="D26" s="50">
        <v>0.1681</v>
      </c>
      <c r="E26" s="50">
        <v>0.1268</v>
      </c>
      <c r="F26" s="50">
        <v>6.9070869533998713E-2</v>
      </c>
      <c r="G26" s="50">
        <f>G25</f>
        <v>3.1589908256880732E-2</v>
      </c>
      <c r="H26" s="50">
        <v>4.718E-2</v>
      </c>
      <c r="I26" s="50">
        <f t="shared" si="6"/>
        <v>0.12340000000000001</v>
      </c>
      <c r="J26" s="50">
        <f t="shared" si="2"/>
        <v>0.10199999999999999</v>
      </c>
      <c r="K26" s="50">
        <f t="shared" si="3"/>
        <v>2.4370869533998717E-2</v>
      </c>
      <c r="L26" s="50">
        <f t="shared" si="4"/>
        <v>6.7899082568807327E-3</v>
      </c>
      <c r="M26" s="50">
        <f t="shared" si="5"/>
        <v>2.480000000000003E-3</v>
      </c>
    </row>
    <row r="27" spans="1:13" ht="15.75" x14ac:dyDescent="0.25">
      <c r="A27" s="19" t="s">
        <v>26</v>
      </c>
      <c r="B27" s="49">
        <v>3.8699999999999998E-2</v>
      </c>
      <c r="C27" s="49">
        <v>3.2300000000000002E-2</v>
      </c>
      <c r="D27" s="49">
        <v>0.14949999999999999</v>
      </c>
      <c r="E27" s="49">
        <v>7.8E-2</v>
      </c>
      <c r="F27" s="49">
        <v>6.7473684210526311E-2</v>
      </c>
      <c r="G27" s="49">
        <v>4.3999999999999997E-2</v>
      </c>
      <c r="H27" s="49">
        <f>$H$29</f>
        <v>4.4999999999999998E-2</v>
      </c>
      <c r="I27" s="49">
        <f t="shared" si="6"/>
        <v>0.1108</v>
      </c>
      <c r="J27" s="49">
        <f t="shared" si="2"/>
        <v>4.5699999999999998E-2</v>
      </c>
      <c r="K27" s="49">
        <f t="shared" si="3"/>
        <v>2.8773684210526312E-2</v>
      </c>
      <c r="L27" s="49">
        <f t="shared" si="4"/>
        <v>1.1699999999999995E-2</v>
      </c>
      <c r="M27" s="49">
        <f t="shared" si="5"/>
        <v>6.3E-3</v>
      </c>
    </row>
    <row r="28" spans="1:13" ht="15.75" x14ac:dyDescent="0.25">
      <c r="A28" s="19" t="s">
        <v>27</v>
      </c>
      <c r="B28" s="50">
        <v>5.57E-2</v>
      </c>
      <c r="C28" s="50">
        <v>3.32E-2</v>
      </c>
      <c r="D28" s="50">
        <v>0.2031</v>
      </c>
      <c r="E28" s="50">
        <v>0.1237</v>
      </c>
      <c r="F28" s="50">
        <v>7.2763157894736849E-2</v>
      </c>
      <c r="G28" s="50">
        <v>4.6231192660550466E-2</v>
      </c>
      <c r="H28" s="50">
        <v>5.5562500000000001E-2</v>
      </c>
      <c r="I28" s="50">
        <f t="shared" si="6"/>
        <v>0.1474</v>
      </c>
      <c r="J28" s="50">
        <f t="shared" si="2"/>
        <v>9.0499999999999997E-2</v>
      </c>
      <c r="K28" s="50">
        <f t="shared" si="3"/>
        <v>1.706315789473685E-2</v>
      </c>
      <c r="L28" s="50">
        <f t="shared" si="4"/>
        <v>1.3031192660550465E-2</v>
      </c>
      <c r="M28" s="50">
        <f t="shared" si="5"/>
        <v>-1.3749999999999873E-4</v>
      </c>
    </row>
    <row r="29" spans="1:13" ht="15.75" x14ac:dyDescent="0.25">
      <c r="A29" s="23" t="s">
        <v>28</v>
      </c>
      <c r="B29" s="24">
        <f>AVERAGE(B14:B28,B6:B12,B3:B4)</f>
        <v>4.7291666666666669E-2</v>
      </c>
      <c r="C29" s="24">
        <f>AVERAGE(C3:C28)</f>
        <v>2.96076923076923E-2</v>
      </c>
      <c r="D29" s="24">
        <f>AVERAGE(D3:D28)</f>
        <v>0.15042307692307694</v>
      </c>
      <c r="E29" s="24">
        <f>AVERAGE(E3:E28)</f>
        <v>9.6503846153846121E-2</v>
      </c>
      <c r="F29" s="24">
        <f>AVERAGE(F3:F28)</f>
        <v>9.3571510857243967E-2</v>
      </c>
      <c r="G29" s="24">
        <f>AVERAGE(G3:G28)</f>
        <v>4.4666088918562649E-2</v>
      </c>
      <c r="H29" s="24">
        <f>0.045</f>
        <v>4.4999999999999998E-2</v>
      </c>
      <c r="I29" s="24">
        <f>AVERAGE(I3:I28)</f>
        <v>0.10384647435897436</v>
      </c>
      <c r="J29" s="24">
        <f>AVERAGE(J3:J28)</f>
        <v>6.6896153846153855E-2</v>
      </c>
      <c r="K29" s="24">
        <f>AVERAGE(K3:K28)</f>
        <v>4.699490829314143E-2</v>
      </c>
      <c r="L29" s="24">
        <f>AVERAGE(L3:L28)</f>
        <v>1.5058396610870346E-2</v>
      </c>
      <c r="M29" s="24">
        <f>AVERAGE(M3:M28)</f>
        <v>-1.5945192307692312E-3</v>
      </c>
    </row>
    <row r="32" spans="1:13" x14ac:dyDescent="0.25">
      <c r="A32" s="196" t="s">
        <v>318</v>
      </c>
      <c r="B32" s="195" t="s">
        <v>317</v>
      </c>
    </row>
    <row r="33" spans="2:2" x14ac:dyDescent="0.25">
      <c r="B33" s="195" t="s">
        <v>319</v>
      </c>
    </row>
    <row r="34" spans="2:2" x14ac:dyDescent="0.25">
      <c r="B34" s="195" t="s">
        <v>320</v>
      </c>
    </row>
    <row r="35" spans="2:2" x14ac:dyDescent="0.25">
      <c r="B35" s="195" t="s">
        <v>321</v>
      </c>
    </row>
    <row r="36" spans="2:2" x14ac:dyDescent="0.25">
      <c r="B36" s="195" t="s">
        <v>322</v>
      </c>
    </row>
  </sheetData>
  <mergeCells count="10">
    <mergeCell ref="A1:A2"/>
    <mergeCell ref="K1:K2"/>
    <mergeCell ref="L1:L2"/>
    <mergeCell ref="M1:M2"/>
    <mergeCell ref="B1:C1"/>
    <mergeCell ref="D1:E1"/>
    <mergeCell ref="F1:F2"/>
    <mergeCell ref="G1:G2"/>
    <mergeCell ref="H1:H2"/>
    <mergeCell ref="I1:J1"/>
  </mergeCells>
  <hyperlinks>
    <hyperlink ref="B32" r:id="rId1"/>
    <hyperlink ref="B33" r:id="rId2"/>
    <hyperlink ref="B34" r:id="rId3"/>
    <hyperlink ref="B35" r:id="rId4"/>
    <hyperlink ref="B36" r:id="rId5"/>
  </hyperlinks>
  <pageMargins left="0.7" right="0.7" top="0.75" bottom="0.75" header="0.3" footer="0.3"/>
  <pageSetup paperSize="9" orientation="portrait" horizontalDpi="4294967293" verticalDpi="4294967293"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33"/>
  <sheetViews>
    <sheetView showGridLines="0" topLeftCell="A16" zoomScale="80" zoomScaleNormal="80" workbookViewId="0">
      <pane xSplit="1" topLeftCell="B1" activePane="topRight" state="frozen"/>
      <selection pane="topRight" activeCell="B43" sqref="B43"/>
    </sheetView>
  </sheetViews>
  <sheetFormatPr defaultRowHeight="15" x14ac:dyDescent="0.25"/>
  <cols>
    <col min="1" max="8" width="20.7109375" style="10" customWidth="1"/>
    <col min="9" max="16384" width="9.140625" style="10"/>
  </cols>
  <sheetData>
    <row r="1" spans="1:8" s="12" customFormat="1" ht="30" customHeight="1" x14ac:dyDescent="0.25">
      <c r="A1" s="243"/>
      <c r="B1" s="242" t="s">
        <v>56</v>
      </c>
      <c r="C1" s="242"/>
      <c r="D1" s="242"/>
      <c r="E1" s="242"/>
      <c r="F1" s="242"/>
      <c r="G1" s="242"/>
      <c r="H1" s="242"/>
    </row>
    <row r="2" spans="1:8" s="12" customFormat="1" ht="30" customHeight="1" x14ac:dyDescent="0.25">
      <c r="A2" s="243"/>
      <c r="B2" s="13" t="s">
        <v>48</v>
      </c>
      <c r="C2" s="13" t="s">
        <v>57</v>
      </c>
      <c r="D2" s="242" t="s">
        <v>58</v>
      </c>
      <c r="E2" s="242"/>
      <c r="F2" s="242"/>
      <c r="G2" s="242"/>
      <c r="H2" s="242"/>
    </row>
    <row r="3" spans="1:8" ht="50.1" customHeight="1" x14ac:dyDescent="0.25">
      <c r="A3" s="221" t="s">
        <v>29</v>
      </c>
      <c r="B3" s="61" t="s">
        <v>55</v>
      </c>
      <c r="C3" s="61" t="s">
        <v>51</v>
      </c>
      <c r="D3" s="61" t="s">
        <v>49</v>
      </c>
      <c r="E3" s="61" t="s">
        <v>50</v>
      </c>
      <c r="F3" s="61" t="s">
        <v>52</v>
      </c>
      <c r="G3" s="61" t="s">
        <v>53</v>
      </c>
      <c r="H3" s="61" t="s">
        <v>54</v>
      </c>
    </row>
    <row r="4" spans="1:8" ht="15.75" x14ac:dyDescent="0.25">
      <c r="A4" s="15" t="s">
        <v>2</v>
      </c>
      <c r="B4" s="130">
        <v>208043.21053758834</v>
      </c>
      <c r="C4" s="130">
        <v>78066.666666666672</v>
      </c>
      <c r="D4" s="130">
        <v>132372.20082477437</v>
      </c>
      <c r="E4" s="130">
        <v>47730</v>
      </c>
      <c r="F4" s="130">
        <v>256139.00704018777</v>
      </c>
      <c r="G4" s="130">
        <v>21336.811625874125</v>
      </c>
      <c r="H4" s="130">
        <f>H30</f>
        <v>105171.75608498839</v>
      </c>
    </row>
    <row r="5" spans="1:8" ht="15.75" x14ac:dyDescent="0.25">
      <c r="A5" s="15" t="s">
        <v>3</v>
      </c>
      <c r="B5" s="131">
        <v>408888.88888888888</v>
      </c>
      <c r="C5" s="131">
        <v>243351.85185185188</v>
      </c>
      <c r="D5" s="131">
        <v>211348.19532908703</v>
      </c>
      <c r="E5" s="131">
        <v>19093.666666666664</v>
      </c>
      <c r="F5" s="131">
        <v>714913.57142857148</v>
      </c>
      <c r="G5" s="131">
        <v>11156.202663880907</v>
      </c>
      <c r="H5" s="131">
        <v>84133.333333333328</v>
      </c>
    </row>
    <row r="6" spans="1:8" ht="15.75" x14ac:dyDescent="0.25">
      <c r="A6" s="15" t="s">
        <v>4</v>
      </c>
      <c r="B6" s="130">
        <v>167777.53968253967</v>
      </c>
      <c r="C6" s="130">
        <v>42899.285714285717</v>
      </c>
      <c r="D6" s="130">
        <f>D5</f>
        <v>211348.19532908703</v>
      </c>
      <c r="E6" s="130">
        <v>74277.333333333343</v>
      </c>
      <c r="F6" s="130">
        <v>240298.53193233476</v>
      </c>
      <c r="G6" s="130">
        <v>14918.870370370372</v>
      </c>
      <c r="H6" s="130">
        <v>70071.634615384624</v>
      </c>
    </row>
    <row r="7" spans="1:8" ht="15.75" x14ac:dyDescent="0.25">
      <c r="A7" s="15" t="s">
        <v>5</v>
      </c>
      <c r="B7" s="131">
        <v>59570.793650793661</v>
      </c>
      <c r="C7" s="131">
        <v>75970.37037037038</v>
      </c>
      <c r="D7" s="131">
        <v>192855.70370370371</v>
      </c>
      <c r="E7" s="131">
        <v>10800</v>
      </c>
      <c r="F7" s="131">
        <v>308332.04633204633</v>
      </c>
      <c r="G7" s="131">
        <f>G30</f>
        <v>36343.079494316153</v>
      </c>
      <c r="H7" s="131">
        <v>46676.666666666672</v>
      </c>
    </row>
    <row r="8" spans="1:8" ht="15.75" x14ac:dyDescent="0.25">
      <c r="A8" s="15" t="s">
        <v>6</v>
      </c>
      <c r="B8" s="130">
        <v>124284.25287356324</v>
      </c>
      <c r="C8" s="130">
        <v>51371.944444444453</v>
      </c>
      <c r="D8" s="130">
        <v>167492.4856321839</v>
      </c>
      <c r="E8" s="130">
        <v>52831.25</v>
      </c>
      <c r="F8" s="130">
        <v>360680.80467372132</v>
      </c>
      <c r="G8" s="130">
        <v>9550</v>
      </c>
      <c r="H8" s="130">
        <v>73290.660919540242</v>
      </c>
    </row>
    <row r="9" spans="1:8" ht="15.75" x14ac:dyDescent="0.25">
      <c r="A9" s="15" t="s">
        <v>7</v>
      </c>
      <c r="B9" s="131">
        <v>276550.33959096466</v>
      </c>
      <c r="C9" s="131">
        <v>54395.888888888883</v>
      </c>
      <c r="D9" s="131">
        <v>125958.9632885633</v>
      </c>
      <c r="E9" s="131">
        <v>13772.333333333336</v>
      </c>
      <c r="F9" s="131">
        <v>331795.61325831705</v>
      </c>
      <c r="G9" s="131">
        <f>G30</f>
        <v>36343.079494316153</v>
      </c>
      <c r="H9" s="131">
        <v>58064.376315789472</v>
      </c>
    </row>
    <row r="10" spans="1:8" ht="15.75" x14ac:dyDescent="0.25">
      <c r="A10" s="15" t="s">
        <v>8</v>
      </c>
      <c r="B10" s="130">
        <v>185000</v>
      </c>
      <c r="C10" s="130">
        <v>30080</v>
      </c>
      <c r="D10" s="130">
        <v>109063.73626373627</v>
      </c>
      <c r="E10" s="130">
        <v>29501.545454545452</v>
      </c>
      <c r="F10" s="130">
        <v>466676.67991169979</v>
      </c>
      <c r="G10" s="130">
        <v>6260.4794600938967</v>
      </c>
      <c r="H10" s="130">
        <v>14553.654354469061</v>
      </c>
    </row>
    <row r="11" spans="1:8" ht="15.75" x14ac:dyDescent="0.25">
      <c r="A11" s="15" t="s">
        <v>9</v>
      </c>
      <c r="B11" s="131">
        <v>272666.66666666669</v>
      </c>
      <c r="C11" s="131">
        <v>73669.666666666657</v>
      </c>
      <c r="D11" s="131">
        <v>137665.08677606346</v>
      </c>
      <c r="E11" s="131">
        <v>21909.579999999998</v>
      </c>
      <c r="F11" s="131">
        <f>F30</f>
        <v>364239.75495103037</v>
      </c>
      <c r="G11" s="131">
        <f>G10</f>
        <v>6260.4794600938967</v>
      </c>
      <c r="H11" s="131">
        <f>H30</f>
        <v>105171.75608498839</v>
      </c>
    </row>
    <row r="12" spans="1:8" ht="15.75" x14ac:dyDescent="0.25">
      <c r="A12" s="15" t="s">
        <v>10</v>
      </c>
      <c r="B12" s="130">
        <v>172927.17889908256</v>
      </c>
      <c r="C12" s="130">
        <v>41066.570048309179</v>
      </c>
      <c r="D12" s="130">
        <v>101128.10387193602</v>
      </c>
      <c r="E12" s="130">
        <v>14424.669222222225</v>
      </c>
      <c r="F12" s="130">
        <f>F30</f>
        <v>364239.75495103037</v>
      </c>
      <c r="G12" s="130">
        <f>G10</f>
        <v>6260.4794600938967</v>
      </c>
      <c r="H12" s="130">
        <f>H30</f>
        <v>105171.75608498839</v>
      </c>
    </row>
    <row r="13" spans="1:8" ht="15.75" x14ac:dyDescent="0.25">
      <c r="A13" s="15" t="s">
        <v>11</v>
      </c>
      <c r="B13" s="131">
        <v>172927.17889908256</v>
      </c>
      <c r="C13" s="131">
        <v>71777.777777777766</v>
      </c>
      <c r="D13" s="131">
        <v>143957.2585978836</v>
      </c>
      <c r="E13" s="131">
        <v>18433.333333333336</v>
      </c>
      <c r="F13" s="131">
        <v>371866.66666666669</v>
      </c>
      <c r="G13" s="131">
        <v>16062.5</v>
      </c>
      <c r="H13" s="131">
        <v>260224.60623593698</v>
      </c>
    </row>
    <row r="14" spans="1:8" ht="15.75" x14ac:dyDescent="0.25">
      <c r="A14" s="15" t="s">
        <v>12</v>
      </c>
      <c r="B14" s="130">
        <v>157427.92792792793</v>
      </c>
      <c r="C14" s="130">
        <v>43027.5</v>
      </c>
      <c r="D14" s="130">
        <v>159155.959752322</v>
      </c>
      <c r="E14" s="130">
        <v>14785.336538461539</v>
      </c>
      <c r="F14" s="130">
        <f>F30</f>
        <v>364239.75495103037</v>
      </c>
      <c r="G14" s="130">
        <f>G30</f>
        <v>36343.079494316153</v>
      </c>
      <c r="H14" s="130">
        <v>47553.759398496237</v>
      </c>
    </row>
    <row r="15" spans="1:8" ht="15.75" x14ac:dyDescent="0.25">
      <c r="A15" s="15" t="s">
        <v>13</v>
      </c>
      <c r="B15" s="131">
        <v>117747.45265151514</v>
      </c>
      <c r="C15" s="131">
        <v>59707.5</v>
      </c>
      <c r="D15" s="131">
        <v>89178.51725445583</v>
      </c>
      <c r="E15" s="131">
        <v>10751.5</v>
      </c>
      <c r="F15" s="131">
        <v>243765.02976190479</v>
      </c>
      <c r="G15" s="131">
        <v>39007.148677248675</v>
      </c>
      <c r="H15" s="131">
        <v>58902.005208333328</v>
      </c>
    </row>
    <row r="16" spans="1:8" ht="15.75" x14ac:dyDescent="0.25">
      <c r="A16" s="15" t="s">
        <v>14</v>
      </c>
      <c r="B16" s="130">
        <v>161842.1329057939</v>
      </c>
      <c r="C16" s="130">
        <v>45145.069444444445</v>
      </c>
      <c r="D16" s="130">
        <v>128259.09006356858</v>
      </c>
      <c r="E16" s="130">
        <v>19601.25</v>
      </c>
      <c r="F16" s="130">
        <v>512669.38789232972</v>
      </c>
      <c r="G16" s="130">
        <f>G30</f>
        <v>36343.079494316153</v>
      </c>
      <c r="H16" s="130">
        <v>35218.222222222226</v>
      </c>
    </row>
    <row r="17" spans="1:8" ht="15.75" x14ac:dyDescent="0.25">
      <c r="A17" s="15" t="s">
        <v>15</v>
      </c>
      <c r="B17" s="131">
        <v>138795</v>
      </c>
      <c r="C17" s="131">
        <v>26930.75</v>
      </c>
      <c r="D17" s="131">
        <v>56742.490053050402</v>
      </c>
      <c r="E17" s="131">
        <v>7074.6666666666661</v>
      </c>
      <c r="F17" s="131">
        <v>578490.90909090918</v>
      </c>
      <c r="G17" s="131">
        <v>245446.32675559475</v>
      </c>
      <c r="H17" s="131">
        <v>113006.8253968254</v>
      </c>
    </row>
    <row r="18" spans="1:8" ht="15.75" x14ac:dyDescent="0.25">
      <c r="A18" s="15" t="s">
        <v>16</v>
      </c>
      <c r="B18" s="130">
        <v>197203.43936423399</v>
      </c>
      <c r="C18" s="130">
        <v>87502.020202020183</v>
      </c>
      <c r="D18" s="130">
        <v>111175.37851478011</v>
      </c>
      <c r="E18" s="130">
        <v>30863.636363636364</v>
      </c>
      <c r="F18" s="130">
        <v>472469.84126984124</v>
      </c>
      <c r="G18" s="130">
        <f>G30</f>
        <v>36343.079494316153</v>
      </c>
      <c r="H18" s="130">
        <v>73784.126984126982</v>
      </c>
    </row>
    <row r="19" spans="1:8" ht="15.75" x14ac:dyDescent="0.25">
      <c r="A19" s="15" t="s">
        <v>17</v>
      </c>
      <c r="B19" s="131">
        <v>113088.77058929864</v>
      </c>
      <c r="C19" s="131">
        <v>42972.076923076922</v>
      </c>
      <c r="D19" s="131">
        <v>107295.04763551115</v>
      </c>
      <c r="E19" s="131">
        <v>18983.047739297741</v>
      </c>
      <c r="F19" s="131">
        <v>370713.14288668853</v>
      </c>
      <c r="G19" s="131">
        <v>13737.218052434455</v>
      </c>
      <c r="H19" s="131">
        <v>119968.25396825396</v>
      </c>
    </row>
    <row r="20" spans="1:8" ht="15.75" x14ac:dyDescent="0.25">
      <c r="A20" s="15" t="s">
        <v>18</v>
      </c>
      <c r="B20" s="130">
        <v>78554.545454545456</v>
      </c>
      <c r="C20" s="130">
        <v>39769.333333333328</v>
      </c>
      <c r="D20" s="130">
        <v>57717.708224817063</v>
      </c>
      <c r="E20" s="130">
        <v>5838.333333333333</v>
      </c>
      <c r="F20" s="130">
        <v>403333.33333333331</v>
      </c>
      <c r="G20" s="130">
        <f>G30</f>
        <v>36343.079494316153</v>
      </c>
      <c r="H20" s="130">
        <v>75655.249006458034</v>
      </c>
    </row>
    <row r="21" spans="1:8" ht="15.75" x14ac:dyDescent="0.25">
      <c r="A21" s="15" t="s">
        <v>19</v>
      </c>
      <c r="B21" s="131">
        <v>132298.49462365592</v>
      </c>
      <c r="C21" s="131">
        <v>32280.714285714283</v>
      </c>
      <c r="D21" s="131">
        <v>97999.587515482024</v>
      </c>
      <c r="E21" s="131">
        <v>23486.259259259259</v>
      </c>
      <c r="F21" s="131">
        <v>123972.92396582458</v>
      </c>
      <c r="G21" s="131">
        <v>22436.915634674922</v>
      </c>
      <c r="H21" s="131">
        <v>131818.75</v>
      </c>
    </row>
    <row r="22" spans="1:8" ht="15.75" x14ac:dyDescent="0.25">
      <c r="A22" s="15" t="s">
        <v>20</v>
      </c>
      <c r="B22" s="130">
        <v>125290.32258064517</v>
      </c>
      <c r="C22" s="130">
        <v>20345.203484902733</v>
      </c>
      <c r="D22" s="130">
        <v>139807.94225902919</v>
      </c>
      <c r="E22" s="130">
        <v>25192.603603603602</v>
      </c>
      <c r="F22" s="130">
        <v>352299.12280701753</v>
      </c>
      <c r="G22" s="130">
        <v>35580.153936545241</v>
      </c>
      <c r="H22" s="130">
        <f>H30</f>
        <v>105171.75608498839</v>
      </c>
    </row>
    <row r="23" spans="1:8" ht="15.75" x14ac:dyDescent="0.25">
      <c r="A23" s="15" t="s">
        <v>21</v>
      </c>
      <c r="B23" s="131">
        <v>213275.45768693477</v>
      </c>
      <c r="C23" s="131">
        <v>57834.25</v>
      </c>
      <c r="D23" s="131">
        <v>82274.712301587293</v>
      </c>
      <c r="E23" s="131">
        <v>23176.666666666664</v>
      </c>
      <c r="F23" s="131">
        <v>180332.14285714284</v>
      </c>
      <c r="G23" s="131">
        <v>12184.768926223373</v>
      </c>
      <c r="H23" s="131">
        <v>150921.37362637362</v>
      </c>
    </row>
    <row r="24" spans="1:8" ht="15.75" x14ac:dyDescent="0.25">
      <c r="A24" s="15" t="s">
        <v>22</v>
      </c>
      <c r="B24" s="130">
        <v>134611.0762800418</v>
      </c>
      <c r="C24" s="130">
        <v>61825</v>
      </c>
      <c r="D24" s="130">
        <v>119359.25429105756</v>
      </c>
      <c r="E24" s="130">
        <v>9909.0000000000018</v>
      </c>
      <c r="F24" s="130">
        <f>F30</f>
        <v>364239.75495103037</v>
      </c>
      <c r="G24" s="130">
        <v>16986.775912955374</v>
      </c>
      <c r="H24" s="130">
        <v>117940.41478129714</v>
      </c>
    </row>
    <row r="25" spans="1:8" ht="15.75" x14ac:dyDescent="0.25">
      <c r="A25" s="15" t="s">
        <v>23</v>
      </c>
      <c r="B25" s="131">
        <v>212382.96136834181</v>
      </c>
      <c r="C25" s="131">
        <v>95980.0625</v>
      </c>
      <c r="D25" s="131">
        <v>170598.16111381984</v>
      </c>
      <c r="E25" s="131">
        <v>6659.7</v>
      </c>
      <c r="F25" s="131">
        <f>F30</f>
        <v>364239.75495103037</v>
      </c>
      <c r="G25" s="131">
        <v>18890.875</v>
      </c>
      <c r="H25" s="131">
        <v>159767.27929984778</v>
      </c>
    </row>
    <row r="26" spans="1:8" ht="15.75" x14ac:dyDescent="0.25">
      <c r="A26" s="15" t="s">
        <v>24</v>
      </c>
      <c r="B26" s="130">
        <v>253663.06116932252</v>
      </c>
      <c r="C26" s="130">
        <v>139846.45833333331</v>
      </c>
      <c r="D26" s="130">
        <v>175593.64542879278</v>
      </c>
      <c r="E26" s="130">
        <v>11613.15</v>
      </c>
      <c r="F26" s="130">
        <f>F30</f>
        <v>364239.75495103037</v>
      </c>
      <c r="G26" s="130">
        <f>G30</f>
        <v>36343.079494316153</v>
      </c>
      <c r="H26" s="130">
        <f>H30</f>
        <v>105171.75608498839</v>
      </c>
    </row>
    <row r="27" spans="1:8" ht="15.75" x14ac:dyDescent="0.25">
      <c r="A27" s="15" t="s">
        <v>25</v>
      </c>
      <c r="B27" s="131">
        <v>168115.18207282899</v>
      </c>
      <c r="C27" s="131">
        <v>40340.78787878788</v>
      </c>
      <c r="D27" s="131">
        <v>201485.12989174071</v>
      </c>
      <c r="E27" s="131">
        <v>20240.3</v>
      </c>
      <c r="F27" s="131">
        <v>223463.73181818181</v>
      </c>
      <c r="G27" s="131">
        <v>54505.378739316242</v>
      </c>
      <c r="H27" s="131">
        <v>167377.81713939452</v>
      </c>
    </row>
    <row r="28" spans="1:8" ht="15.75" x14ac:dyDescent="0.25">
      <c r="A28" s="15" t="s">
        <v>41</v>
      </c>
      <c r="B28" s="130">
        <v>185859.93421878715</v>
      </c>
      <c r="C28" s="130">
        <v>17499.418181818182</v>
      </c>
      <c r="D28" s="130">
        <v>165877.1308768552</v>
      </c>
      <c r="E28" s="130">
        <v>11160.04</v>
      </c>
      <c r="F28" s="130">
        <f>F30</f>
        <v>364239.75495103037</v>
      </c>
      <c r="G28" s="130">
        <f>G30</f>
        <v>36343.079494316153</v>
      </c>
      <c r="H28" s="130">
        <v>159344.35956200663</v>
      </c>
    </row>
    <row r="29" spans="1:8" ht="15.75" x14ac:dyDescent="0.25">
      <c r="A29" s="15" t="s">
        <v>27</v>
      </c>
      <c r="B29" s="131">
        <v>176567.86463454607</v>
      </c>
      <c r="C29" s="131">
        <v>46917.125</v>
      </c>
      <c r="D29" s="131">
        <v>266351.91505498672</v>
      </c>
      <c r="E29" s="131">
        <v>17933.14</v>
      </c>
      <c r="F29" s="131">
        <v>408342.8571428571</v>
      </c>
      <c r="G29" s="131">
        <v>43428.846153846149</v>
      </c>
      <c r="H29" s="131">
        <v>190333.50874999998</v>
      </c>
    </row>
    <row r="30" spans="1:8" s="25" customFormat="1" ht="15.75" x14ac:dyDescent="0.25">
      <c r="A30" s="18" t="s">
        <v>28</v>
      </c>
      <c r="B30" s="197">
        <f>AVERAGE(Table35[Stove (€/MW)])</f>
        <v>177513.83358529193</v>
      </c>
      <c r="C30" s="197">
        <f>AVERAGE(Table35[Electric Water heater (€/MW)])</f>
        <v>62329.7419998728</v>
      </c>
      <c r="D30" s="197">
        <f>AVERAGE(Table35[A/C (€/MW)])</f>
        <v>140848.5230711106</v>
      </c>
      <c r="E30" s="197">
        <f>AVERAGE(Table35[Other electric appliances (€/MW)])</f>
        <v>21540.090058244605</v>
      </c>
      <c r="F30" s="197">
        <f>AVERAGE(F15:F23,F27,F29,F13,F4:F10)</f>
        <v>364239.75495103037</v>
      </c>
      <c r="G30" s="197">
        <f>AVERAGE(G29,G27,G21:G25,G19,G17,G15,G13,G10,G8,G6,G4:G5)</f>
        <v>36343.079494316153</v>
      </c>
      <c r="H30" s="197">
        <f>AVERAGE(H27:H29,H23:H25,H13:H21,H5:H10)</f>
        <v>105171.75608498839</v>
      </c>
    </row>
    <row r="31" spans="1:8" ht="15.75" x14ac:dyDescent="0.25">
      <c r="A31" s="11"/>
      <c r="B31" s="11"/>
      <c r="C31" s="11"/>
      <c r="D31" s="11"/>
      <c r="E31" s="11"/>
      <c r="F31" s="11"/>
      <c r="G31" s="11"/>
      <c r="H31" s="11"/>
    </row>
    <row r="32" spans="1:8" ht="15.75" x14ac:dyDescent="0.25">
      <c r="A32" s="11"/>
      <c r="B32" s="11"/>
      <c r="C32" s="11"/>
      <c r="D32" s="11"/>
      <c r="E32" s="11"/>
      <c r="F32" s="11"/>
      <c r="G32" s="11"/>
      <c r="H32" s="11"/>
    </row>
    <row r="33" spans="1:8" x14ac:dyDescent="0.25">
      <c r="A33" s="198" t="s">
        <v>318</v>
      </c>
      <c r="B33" s="241" t="s">
        <v>323</v>
      </c>
      <c r="C33" s="241"/>
      <c r="D33" s="241"/>
      <c r="E33" s="241"/>
      <c r="F33" s="241"/>
      <c r="G33" s="241"/>
      <c r="H33" s="241"/>
    </row>
  </sheetData>
  <mergeCells count="4">
    <mergeCell ref="B33:H33"/>
    <mergeCell ref="D2:H2"/>
    <mergeCell ref="A1:A2"/>
    <mergeCell ref="B1:H1"/>
  </mergeCells>
  <pageMargins left="0.7" right="0.7" top="0.75" bottom="0.75" header="0.3" footer="0.3"/>
  <pageSetup paperSize="9" orientation="portrait"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H42"/>
  <sheetViews>
    <sheetView showGridLines="0" topLeftCell="B1" zoomScale="50" zoomScaleNormal="50" workbookViewId="0">
      <selection activeCell="AE20" sqref="AE20"/>
    </sheetView>
  </sheetViews>
  <sheetFormatPr defaultRowHeight="18.75" x14ac:dyDescent="0.3"/>
  <cols>
    <col min="1" max="1" width="20.28515625" style="97" customWidth="1"/>
    <col min="2" max="8" width="15.7109375" style="88" customWidth="1"/>
    <col min="9" max="9" width="9.140625" style="88"/>
    <col min="10" max="10" width="20.28515625" style="97" bestFit="1" customWidth="1"/>
    <col min="11" max="17" width="15.7109375" style="88" customWidth="1"/>
    <col min="18" max="18" width="9.140625" style="88"/>
    <col min="19" max="19" width="20.28515625" style="97" bestFit="1" customWidth="1"/>
    <col min="20" max="26" width="15.7109375" style="88" customWidth="1"/>
    <col min="27" max="27" width="9.140625" style="88"/>
    <col min="28" max="28" width="20.28515625" style="102" bestFit="1" customWidth="1"/>
    <col min="29" max="30" width="20.7109375" style="88" customWidth="1"/>
    <col min="31" max="31" width="9.140625" style="88"/>
    <col min="32" max="32" width="28" style="102" bestFit="1" customWidth="1"/>
    <col min="33" max="33" width="10.5703125" style="88" bestFit="1" customWidth="1"/>
    <col min="34" max="34" width="9.7109375" style="88" bestFit="1" customWidth="1"/>
    <col min="35" max="16384" width="9.140625" style="88"/>
  </cols>
  <sheetData>
    <row r="1" spans="1:34" ht="18.75" customHeight="1" x14ac:dyDescent="0.3">
      <c r="A1" s="247" t="s">
        <v>198</v>
      </c>
      <c r="B1" s="248"/>
      <c r="C1" s="248"/>
      <c r="D1" s="248"/>
      <c r="E1" s="248"/>
      <c r="F1" s="248"/>
      <c r="G1" s="248"/>
      <c r="H1" s="249"/>
      <c r="J1" s="247" t="s">
        <v>194</v>
      </c>
      <c r="K1" s="248"/>
      <c r="L1" s="248"/>
      <c r="M1" s="248"/>
      <c r="N1" s="248"/>
      <c r="O1" s="248"/>
      <c r="P1" s="248"/>
      <c r="Q1" s="249"/>
      <c r="S1" s="247" t="s">
        <v>196</v>
      </c>
      <c r="T1" s="248"/>
      <c r="U1" s="248"/>
      <c r="V1" s="248"/>
      <c r="W1" s="248"/>
      <c r="X1" s="248"/>
      <c r="Y1" s="248"/>
      <c r="Z1" s="249"/>
      <c r="AB1" s="245" t="s">
        <v>244</v>
      </c>
      <c r="AC1" s="245"/>
      <c r="AD1" s="245"/>
      <c r="AF1" s="245" t="s">
        <v>248</v>
      </c>
      <c r="AG1" s="245"/>
      <c r="AH1" s="245"/>
    </row>
    <row r="2" spans="1:34" ht="18.75" customHeight="1" x14ac:dyDescent="0.3">
      <c r="A2" s="250"/>
      <c r="B2" s="246"/>
      <c r="C2" s="246"/>
      <c r="D2" s="246"/>
      <c r="E2" s="246"/>
      <c r="F2" s="246"/>
      <c r="G2" s="246"/>
      <c r="H2" s="251"/>
      <c r="J2" s="250"/>
      <c r="K2" s="246"/>
      <c r="L2" s="246"/>
      <c r="M2" s="246"/>
      <c r="N2" s="246"/>
      <c r="O2" s="246"/>
      <c r="P2" s="246"/>
      <c r="Q2" s="251"/>
      <c r="S2" s="250"/>
      <c r="T2" s="246"/>
      <c r="U2" s="246"/>
      <c r="V2" s="246"/>
      <c r="W2" s="246"/>
      <c r="X2" s="246"/>
      <c r="Y2" s="246"/>
      <c r="Z2" s="251"/>
      <c r="AB2" s="246"/>
      <c r="AC2" s="246"/>
      <c r="AD2" s="246"/>
      <c r="AF2" s="246"/>
      <c r="AG2" s="246"/>
      <c r="AH2" s="246"/>
    </row>
    <row r="3" spans="1:34" ht="57.75" customHeight="1" x14ac:dyDescent="0.3">
      <c r="A3" s="103" t="s">
        <v>249</v>
      </c>
      <c r="B3" s="85" t="s">
        <v>250</v>
      </c>
      <c r="C3" s="85" t="s">
        <v>251</v>
      </c>
      <c r="D3" s="85" t="s">
        <v>252</v>
      </c>
      <c r="E3" s="85" t="s">
        <v>253</v>
      </c>
      <c r="F3" s="85" t="s">
        <v>254</v>
      </c>
      <c r="G3" s="85" t="s">
        <v>255</v>
      </c>
      <c r="H3" s="85" t="s">
        <v>256</v>
      </c>
      <c r="J3" s="87" t="s">
        <v>249</v>
      </c>
      <c r="K3" s="86" t="s">
        <v>250</v>
      </c>
      <c r="L3" s="86" t="s">
        <v>251</v>
      </c>
      <c r="M3" s="86" t="s">
        <v>252</v>
      </c>
      <c r="N3" s="86" t="s">
        <v>253</v>
      </c>
      <c r="O3" s="86" t="s">
        <v>254</v>
      </c>
      <c r="P3" s="86" t="s">
        <v>255</v>
      </c>
      <c r="Q3" s="86" t="s">
        <v>256</v>
      </c>
      <c r="S3" s="87" t="s">
        <v>249</v>
      </c>
      <c r="T3" s="86" t="s">
        <v>250</v>
      </c>
      <c r="U3" s="86" t="s">
        <v>251</v>
      </c>
      <c r="V3" s="86" t="s">
        <v>252</v>
      </c>
      <c r="W3" s="86" t="s">
        <v>253</v>
      </c>
      <c r="X3" s="86" t="s">
        <v>254</v>
      </c>
      <c r="Y3" s="86" t="s">
        <v>255</v>
      </c>
      <c r="Z3" s="86" t="s">
        <v>256</v>
      </c>
      <c r="AB3" s="87" t="s">
        <v>249</v>
      </c>
      <c r="AC3" s="40" t="s">
        <v>258</v>
      </c>
      <c r="AD3" s="40" t="s">
        <v>257</v>
      </c>
      <c r="AF3" s="87"/>
      <c r="AG3" s="86"/>
      <c r="AH3" s="86"/>
    </row>
    <row r="4" spans="1:34" ht="37.5" x14ac:dyDescent="0.3">
      <c r="A4" s="103" t="s">
        <v>30</v>
      </c>
      <c r="B4" s="108">
        <v>7</v>
      </c>
      <c r="C4" s="108">
        <v>7</v>
      </c>
      <c r="D4" s="108">
        <v>28</v>
      </c>
      <c r="E4" s="108">
        <v>28</v>
      </c>
      <c r="F4" s="108">
        <v>28</v>
      </c>
      <c r="G4" s="108">
        <v>28</v>
      </c>
      <c r="H4" s="108">
        <v>28</v>
      </c>
      <c r="J4" s="89" t="s">
        <v>31</v>
      </c>
      <c r="K4" s="90"/>
      <c r="L4" s="90"/>
      <c r="M4" s="90"/>
      <c r="N4" s="90"/>
      <c r="O4" s="90"/>
      <c r="P4" s="90"/>
      <c r="Q4" s="91"/>
      <c r="S4" s="92" t="s">
        <v>38</v>
      </c>
      <c r="T4" s="90"/>
      <c r="U4" s="90"/>
      <c r="V4" s="90"/>
      <c r="W4" s="90"/>
      <c r="X4" s="90"/>
      <c r="Y4" s="90"/>
      <c r="Z4" s="90"/>
      <c r="AB4" s="93" t="s">
        <v>42</v>
      </c>
      <c r="AC4" s="94">
        <v>16</v>
      </c>
      <c r="AD4" s="94">
        <v>16</v>
      </c>
      <c r="AF4" s="87" t="s">
        <v>249</v>
      </c>
      <c r="AG4" s="21" t="s">
        <v>259</v>
      </c>
      <c r="AH4" s="21" t="s">
        <v>260</v>
      </c>
    </row>
    <row r="5" spans="1:34" ht="56.25" x14ac:dyDescent="0.3">
      <c r="A5" s="103" t="s">
        <v>245</v>
      </c>
      <c r="B5" s="109">
        <v>52</v>
      </c>
      <c r="C5" s="109">
        <v>52</v>
      </c>
      <c r="D5" s="109">
        <v>34</v>
      </c>
      <c r="E5" s="109">
        <v>34</v>
      </c>
      <c r="F5" s="109">
        <v>34</v>
      </c>
      <c r="G5" s="109">
        <v>34</v>
      </c>
      <c r="H5" s="109">
        <v>34</v>
      </c>
      <c r="J5" s="103" t="s">
        <v>42</v>
      </c>
      <c r="K5" s="106">
        <v>4</v>
      </c>
      <c r="L5" s="106">
        <v>24</v>
      </c>
      <c r="M5" s="104">
        <v>24</v>
      </c>
      <c r="N5" s="106">
        <v>24</v>
      </c>
      <c r="O5" s="106">
        <v>24</v>
      </c>
      <c r="P5" s="104">
        <v>24</v>
      </c>
      <c r="Q5" s="104">
        <v>24</v>
      </c>
      <c r="S5" s="103" t="s">
        <v>42</v>
      </c>
      <c r="T5" s="104">
        <v>8</v>
      </c>
      <c r="U5" s="104">
        <v>8</v>
      </c>
      <c r="V5" s="104">
        <v>8</v>
      </c>
      <c r="W5" s="104">
        <v>8</v>
      </c>
      <c r="X5" s="104">
        <v>8</v>
      </c>
      <c r="Y5" s="104">
        <v>8</v>
      </c>
      <c r="Z5" s="104">
        <v>8</v>
      </c>
      <c r="AB5" s="93" t="s">
        <v>43</v>
      </c>
      <c r="AC5" s="95">
        <v>5</v>
      </c>
      <c r="AD5" s="95">
        <v>5</v>
      </c>
      <c r="AF5" s="96" t="s">
        <v>261</v>
      </c>
      <c r="AG5" s="94">
        <v>168</v>
      </c>
      <c r="AH5" s="94">
        <v>168</v>
      </c>
    </row>
    <row r="6" spans="1:34" ht="56.25" x14ac:dyDescent="0.3">
      <c r="A6" s="103" t="s">
        <v>246</v>
      </c>
      <c r="B6" s="108">
        <v>10</v>
      </c>
      <c r="C6" s="108">
        <v>10</v>
      </c>
      <c r="D6" s="108">
        <v>10</v>
      </c>
      <c r="E6" s="108">
        <v>7</v>
      </c>
      <c r="F6" s="108">
        <v>15</v>
      </c>
      <c r="G6" s="108">
        <v>20</v>
      </c>
      <c r="H6" s="108">
        <v>20</v>
      </c>
      <c r="J6" s="103" t="s">
        <v>43</v>
      </c>
      <c r="K6" s="107">
        <v>7</v>
      </c>
      <c r="L6" s="107">
        <v>7</v>
      </c>
      <c r="M6" s="105">
        <v>7</v>
      </c>
      <c r="N6" s="107">
        <v>7</v>
      </c>
      <c r="O6" s="107">
        <v>7</v>
      </c>
      <c r="P6" s="105">
        <v>7</v>
      </c>
      <c r="Q6" s="105">
        <v>7</v>
      </c>
      <c r="S6" s="103" t="s">
        <v>43</v>
      </c>
      <c r="T6" s="105">
        <v>7</v>
      </c>
      <c r="U6" s="105">
        <v>7</v>
      </c>
      <c r="V6" s="105">
        <v>7</v>
      </c>
      <c r="W6" s="105">
        <v>7</v>
      </c>
      <c r="X6" s="105">
        <v>7</v>
      </c>
      <c r="Y6" s="105">
        <v>7</v>
      </c>
      <c r="Z6" s="105">
        <v>7</v>
      </c>
      <c r="AB6" s="93" t="s">
        <v>245</v>
      </c>
      <c r="AC6" s="94">
        <v>51</v>
      </c>
      <c r="AD6" s="94">
        <v>51</v>
      </c>
      <c r="AF6" s="96" t="s">
        <v>262</v>
      </c>
      <c r="AG6" s="95">
        <v>84</v>
      </c>
      <c r="AH6" s="95">
        <v>84</v>
      </c>
    </row>
    <row r="7" spans="1:34" x14ac:dyDescent="0.3">
      <c r="A7" s="103" t="s">
        <v>247</v>
      </c>
      <c r="B7" s="110">
        <f t="shared" ref="B7:H7" si="0">B4*B5*B6</f>
        <v>3640</v>
      </c>
      <c r="C7" s="110">
        <f t="shared" si="0"/>
        <v>3640</v>
      </c>
      <c r="D7" s="110">
        <f t="shared" si="0"/>
        <v>9520</v>
      </c>
      <c r="E7" s="110">
        <f t="shared" si="0"/>
        <v>6664</v>
      </c>
      <c r="F7" s="110">
        <f t="shared" si="0"/>
        <v>14280</v>
      </c>
      <c r="G7" s="110">
        <f t="shared" si="0"/>
        <v>19040</v>
      </c>
      <c r="H7" s="110">
        <f t="shared" si="0"/>
        <v>19040</v>
      </c>
      <c r="J7" s="103" t="s">
        <v>245</v>
      </c>
      <c r="K7" s="106">
        <v>52</v>
      </c>
      <c r="L7" s="106">
        <v>52</v>
      </c>
      <c r="M7" s="106">
        <v>52</v>
      </c>
      <c r="N7" s="106">
        <v>34</v>
      </c>
      <c r="O7" s="106">
        <v>34</v>
      </c>
      <c r="P7" s="106">
        <v>34</v>
      </c>
      <c r="Q7" s="106">
        <v>34</v>
      </c>
      <c r="S7" s="103" t="s">
        <v>245</v>
      </c>
      <c r="T7" s="104">
        <v>52</v>
      </c>
      <c r="U7" s="104">
        <v>52</v>
      </c>
      <c r="V7" s="104">
        <v>52</v>
      </c>
      <c r="W7" s="104">
        <v>34</v>
      </c>
      <c r="X7" s="104">
        <v>34</v>
      </c>
      <c r="Y7" s="104">
        <v>34</v>
      </c>
      <c r="Z7" s="104">
        <v>34</v>
      </c>
      <c r="AB7" s="96" t="s">
        <v>246</v>
      </c>
      <c r="AC7" s="95">
        <v>20</v>
      </c>
      <c r="AD7" s="95">
        <v>20</v>
      </c>
      <c r="AF7" s="96" t="s">
        <v>245</v>
      </c>
      <c r="AG7" s="94">
        <v>52</v>
      </c>
      <c r="AH7" s="94">
        <v>52</v>
      </c>
    </row>
    <row r="8" spans="1:34" x14ac:dyDescent="0.3">
      <c r="J8" s="103" t="s">
        <v>246</v>
      </c>
      <c r="K8" s="107">
        <v>10</v>
      </c>
      <c r="L8" s="107">
        <v>10</v>
      </c>
      <c r="M8" s="107">
        <v>10</v>
      </c>
      <c r="N8" s="107">
        <v>7</v>
      </c>
      <c r="O8" s="107">
        <v>15</v>
      </c>
      <c r="P8" s="107">
        <v>20</v>
      </c>
      <c r="Q8" s="107">
        <v>20</v>
      </c>
      <c r="S8" s="103" t="s">
        <v>246</v>
      </c>
      <c r="T8" s="105">
        <v>10</v>
      </c>
      <c r="U8" s="105">
        <v>10</v>
      </c>
      <c r="V8" s="105">
        <v>10</v>
      </c>
      <c r="W8" s="105">
        <v>7</v>
      </c>
      <c r="X8" s="105">
        <v>15</v>
      </c>
      <c r="Y8" s="105">
        <v>20</v>
      </c>
      <c r="Z8" s="105">
        <v>20</v>
      </c>
      <c r="AB8" s="93" t="s">
        <v>247</v>
      </c>
      <c r="AC8" s="110">
        <f>PRODUCT(AC4:AC7)</f>
        <v>81600</v>
      </c>
      <c r="AD8" s="110">
        <f>PRODUCT(AD4:AD7)</f>
        <v>81600</v>
      </c>
      <c r="AF8" s="96" t="s">
        <v>246</v>
      </c>
      <c r="AG8" s="95">
        <v>10</v>
      </c>
      <c r="AH8" s="95">
        <v>10</v>
      </c>
    </row>
    <row r="9" spans="1:34" ht="37.5" customHeight="1" x14ac:dyDescent="0.3">
      <c r="J9" s="103" t="s">
        <v>247</v>
      </c>
      <c r="K9" s="110">
        <f t="shared" ref="K9:Q9" si="1">PRODUCT(K5:K8)</f>
        <v>14560</v>
      </c>
      <c r="L9" s="110">
        <f t="shared" si="1"/>
        <v>87360</v>
      </c>
      <c r="M9" s="110">
        <f t="shared" si="1"/>
        <v>87360</v>
      </c>
      <c r="N9" s="110">
        <f t="shared" si="1"/>
        <v>39984</v>
      </c>
      <c r="O9" s="110">
        <f t="shared" si="1"/>
        <v>85680</v>
      </c>
      <c r="P9" s="110">
        <f t="shared" si="1"/>
        <v>114240</v>
      </c>
      <c r="Q9" s="110">
        <f t="shared" si="1"/>
        <v>114240</v>
      </c>
      <c r="S9" s="103" t="s">
        <v>247</v>
      </c>
      <c r="T9" s="110">
        <f t="shared" ref="T9:Z9" si="2">PRODUCT(T5:T8)</f>
        <v>29120</v>
      </c>
      <c r="U9" s="110">
        <f t="shared" si="2"/>
        <v>29120</v>
      </c>
      <c r="V9" s="110">
        <f t="shared" si="2"/>
        <v>29120</v>
      </c>
      <c r="W9" s="110">
        <f t="shared" si="2"/>
        <v>13328</v>
      </c>
      <c r="X9" s="110">
        <f t="shared" si="2"/>
        <v>28560</v>
      </c>
      <c r="Y9" s="110">
        <f t="shared" si="2"/>
        <v>38080</v>
      </c>
      <c r="Z9" s="110">
        <f t="shared" si="2"/>
        <v>38080</v>
      </c>
      <c r="AF9" s="93" t="s">
        <v>263</v>
      </c>
      <c r="AG9" s="94">
        <f>AG5*AG7*AG8</f>
        <v>87360</v>
      </c>
      <c r="AH9" s="94">
        <f>AH5*AH7*AH8</f>
        <v>87360</v>
      </c>
    </row>
    <row r="10" spans="1:34" ht="37.5" x14ac:dyDescent="0.3">
      <c r="J10" s="89" t="s">
        <v>32</v>
      </c>
      <c r="K10" s="98"/>
      <c r="L10" s="98"/>
      <c r="M10" s="98"/>
      <c r="N10" s="98"/>
      <c r="O10" s="98"/>
      <c r="P10" s="98"/>
      <c r="Q10" s="99"/>
      <c r="S10" s="103" t="s">
        <v>39</v>
      </c>
      <c r="T10" s="100"/>
      <c r="U10" s="100"/>
      <c r="V10" s="100"/>
      <c r="W10" s="100"/>
      <c r="X10" s="100"/>
      <c r="Y10" s="100"/>
      <c r="Z10" s="101"/>
      <c r="AF10" s="93" t="s">
        <v>264</v>
      </c>
      <c r="AG10" s="95">
        <f>AG6*AG7*AG8</f>
        <v>43680</v>
      </c>
      <c r="AH10" s="95">
        <f>AH6*AH7*AH8</f>
        <v>43680</v>
      </c>
    </row>
    <row r="11" spans="1:34" x14ac:dyDescent="0.3">
      <c r="J11" s="103" t="s">
        <v>42</v>
      </c>
      <c r="K11" s="106">
        <v>3</v>
      </c>
      <c r="L11" s="106">
        <v>8</v>
      </c>
      <c r="M11" s="104">
        <v>8</v>
      </c>
      <c r="N11" s="106">
        <v>8</v>
      </c>
      <c r="O11" s="106">
        <v>8</v>
      </c>
      <c r="P11" s="104">
        <v>8</v>
      </c>
      <c r="Q11" s="104">
        <v>8</v>
      </c>
      <c r="S11" s="103" t="s">
        <v>42</v>
      </c>
      <c r="T11" s="106">
        <v>0</v>
      </c>
      <c r="U11" s="106">
        <v>10</v>
      </c>
      <c r="V11" s="104">
        <v>12</v>
      </c>
      <c r="W11" s="106">
        <v>10</v>
      </c>
      <c r="X11" s="106">
        <v>10</v>
      </c>
      <c r="Y11" s="104">
        <v>10</v>
      </c>
      <c r="Z11" s="104">
        <v>10</v>
      </c>
      <c r="AF11" s="88"/>
      <c r="AH11" s="102"/>
    </row>
    <row r="12" spans="1:34" x14ac:dyDescent="0.3">
      <c r="J12" s="103" t="s">
        <v>43</v>
      </c>
      <c r="K12" s="107">
        <v>5</v>
      </c>
      <c r="L12" s="107">
        <v>5</v>
      </c>
      <c r="M12" s="105">
        <v>5</v>
      </c>
      <c r="N12" s="107">
        <v>5</v>
      </c>
      <c r="O12" s="107">
        <v>5</v>
      </c>
      <c r="P12" s="105">
        <v>5</v>
      </c>
      <c r="Q12" s="105">
        <v>5</v>
      </c>
      <c r="S12" s="103" t="s">
        <v>43</v>
      </c>
      <c r="T12" s="107">
        <v>0</v>
      </c>
      <c r="U12" s="107">
        <v>6</v>
      </c>
      <c r="V12" s="105">
        <v>6</v>
      </c>
      <c r="W12" s="107">
        <v>6</v>
      </c>
      <c r="X12" s="107">
        <v>6</v>
      </c>
      <c r="Y12" s="105">
        <v>6</v>
      </c>
      <c r="Z12" s="105">
        <v>6</v>
      </c>
      <c r="AF12" s="88"/>
      <c r="AH12" s="102"/>
    </row>
    <row r="13" spans="1:34" x14ac:dyDescent="0.3">
      <c r="J13" s="103" t="s">
        <v>245</v>
      </c>
      <c r="K13" s="106">
        <v>38</v>
      </c>
      <c r="L13" s="106">
        <v>38</v>
      </c>
      <c r="M13" s="106">
        <v>34</v>
      </c>
      <c r="N13" s="106">
        <v>34</v>
      </c>
      <c r="O13" s="106">
        <v>34</v>
      </c>
      <c r="P13" s="106">
        <v>34</v>
      </c>
      <c r="Q13" s="106">
        <v>34</v>
      </c>
      <c r="S13" s="103" t="s">
        <v>245</v>
      </c>
      <c r="T13" s="106">
        <v>0</v>
      </c>
      <c r="U13" s="106">
        <v>52</v>
      </c>
      <c r="V13" s="106">
        <v>52</v>
      </c>
      <c r="W13" s="106">
        <v>34</v>
      </c>
      <c r="X13" s="106">
        <v>34</v>
      </c>
      <c r="Y13" s="106">
        <v>34</v>
      </c>
      <c r="Z13" s="106">
        <v>34</v>
      </c>
    </row>
    <row r="14" spans="1:34" x14ac:dyDescent="0.3">
      <c r="J14" s="103" t="s">
        <v>246</v>
      </c>
      <c r="K14" s="107">
        <v>10</v>
      </c>
      <c r="L14" s="107">
        <v>10</v>
      </c>
      <c r="M14" s="107">
        <v>10</v>
      </c>
      <c r="N14" s="107">
        <v>7</v>
      </c>
      <c r="O14" s="107">
        <v>15</v>
      </c>
      <c r="P14" s="107">
        <v>20</v>
      </c>
      <c r="Q14" s="107">
        <v>20</v>
      </c>
      <c r="S14" s="103" t="s">
        <v>246</v>
      </c>
      <c r="T14" s="107">
        <v>10</v>
      </c>
      <c r="U14" s="107">
        <v>10</v>
      </c>
      <c r="V14" s="107">
        <v>10</v>
      </c>
      <c r="W14" s="107">
        <v>7</v>
      </c>
      <c r="X14" s="107">
        <v>15</v>
      </c>
      <c r="Y14" s="107">
        <v>20</v>
      </c>
      <c r="Z14" s="107">
        <v>20</v>
      </c>
    </row>
    <row r="15" spans="1:34" x14ac:dyDescent="0.3">
      <c r="J15" s="103" t="s">
        <v>247</v>
      </c>
      <c r="K15" s="110">
        <f t="shared" ref="K15:Q15" si="3">PRODUCT(K11:K14)</f>
        <v>5700</v>
      </c>
      <c r="L15" s="110">
        <f t="shared" si="3"/>
        <v>15200</v>
      </c>
      <c r="M15" s="110">
        <f t="shared" si="3"/>
        <v>13600</v>
      </c>
      <c r="N15" s="110">
        <f t="shared" si="3"/>
        <v>9520</v>
      </c>
      <c r="O15" s="110">
        <f t="shared" si="3"/>
        <v>20400</v>
      </c>
      <c r="P15" s="110">
        <f t="shared" si="3"/>
        <v>27200</v>
      </c>
      <c r="Q15" s="110">
        <f t="shared" si="3"/>
        <v>27200</v>
      </c>
      <c r="S15" s="103" t="s">
        <v>247</v>
      </c>
      <c r="T15" s="110">
        <f t="shared" ref="T15:Z15" si="4">PRODUCT(T11:T14)</f>
        <v>0</v>
      </c>
      <c r="U15" s="110">
        <f t="shared" si="4"/>
        <v>31200</v>
      </c>
      <c r="V15" s="110">
        <f t="shared" si="4"/>
        <v>37440</v>
      </c>
      <c r="W15" s="110">
        <f t="shared" si="4"/>
        <v>14280</v>
      </c>
      <c r="X15" s="110">
        <f t="shared" si="4"/>
        <v>30600</v>
      </c>
      <c r="Y15" s="110">
        <f t="shared" si="4"/>
        <v>40800</v>
      </c>
      <c r="Z15" s="110">
        <f t="shared" si="4"/>
        <v>40800</v>
      </c>
    </row>
    <row r="16" spans="1:34" x14ac:dyDescent="0.3">
      <c r="J16" s="103" t="s">
        <v>33</v>
      </c>
      <c r="K16" s="98"/>
      <c r="L16" s="98"/>
      <c r="M16" s="98"/>
      <c r="N16" s="98"/>
      <c r="O16" s="98"/>
      <c r="P16" s="98"/>
      <c r="Q16" s="99"/>
      <c r="S16" s="103" t="s">
        <v>40</v>
      </c>
      <c r="T16" s="98"/>
      <c r="U16" s="98"/>
      <c r="V16" s="98"/>
      <c r="W16" s="98"/>
      <c r="X16" s="98"/>
      <c r="Y16" s="98"/>
      <c r="Z16" s="99"/>
    </row>
    <row r="17" spans="10:26" ht="31.5" customHeight="1" x14ac:dyDescent="0.3">
      <c r="J17" s="103" t="s">
        <v>42</v>
      </c>
      <c r="K17" s="106">
        <v>1</v>
      </c>
      <c r="L17" s="106">
        <v>24</v>
      </c>
      <c r="M17" s="106">
        <v>24</v>
      </c>
      <c r="N17" s="106">
        <v>24</v>
      </c>
      <c r="O17" s="106">
        <v>24</v>
      </c>
      <c r="P17" s="106">
        <v>24</v>
      </c>
      <c r="Q17" s="106">
        <v>24</v>
      </c>
      <c r="S17" s="103" t="s">
        <v>42</v>
      </c>
      <c r="T17" s="104">
        <v>0</v>
      </c>
      <c r="U17" s="104">
        <v>8</v>
      </c>
      <c r="V17" s="104">
        <v>8</v>
      </c>
      <c r="W17" s="104">
        <v>8</v>
      </c>
      <c r="X17" s="104">
        <v>8</v>
      </c>
      <c r="Y17" s="104">
        <v>8</v>
      </c>
      <c r="Z17" s="104">
        <v>8</v>
      </c>
    </row>
    <row r="18" spans="10:26" ht="31.5" customHeight="1" x14ac:dyDescent="0.3">
      <c r="J18" s="103" t="s">
        <v>43</v>
      </c>
      <c r="K18" s="107">
        <v>7</v>
      </c>
      <c r="L18" s="107">
        <v>7</v>
      </c>
      <c r="M18" s="107">
        <v>7</v>
      </c>
      <c r="N18" s="107">
        <v>7</v>
      </c>
      <c r="O18" s="107">
        <v>7</v>
      </c>
      <c r="P18" s="107">
        <v>7</v>
      </c>
      <c r="Q18" s="107">
        <v>7</v>
      </c>
      <c r="S18" s="103" t="s">
        <v>43</v>
      </c>
      <c r="T18" s="105">
        <v>0</v>
      </c>
      <c r="U18" s="105">
        <v>5</v>
      </c>
      <c r="V18" s="105">
        <v>5</v>
      </c>
      <c r="W18" s="105">
        <v>5</v>
      </c>
      <c r="X18" s="105">
        <v>5</v>
      </c>
      <c r="Y18" s="105">
        <v>5</v>
      </c>
      <c r="Z18" s="105">
        <v>5</v>
      </c>
    </row>
    <row r="19" spans="10:26" x14ac:dyDescent="0.3">
      <c r="J19" s="103" t="s">
        <v>245</v>
      </c>
      <c r="K19" s="106">
        <v>52</v>
      </c>
      <c r="L19" s="106">
        <v>52</v>
      </c>
      <c r="M19" s="106">
        <v>52</v>
      </c>
      <c r="N19" s="106">
        <v>34</v>
      </c>
      <c r="O19" s="106">
        <v>34</v>
      </c>
      <c r="P19" s="106">
        <v>34</v>
      </c>
      <c r="Q19" s="106">
        <v>34</v>
      </c>
      <c r="S19" s="103" t="s">
        <v>245</v>
      </c>
      <c r="T19" s="104">
        <v>0</v>
      </c>
      <c r="U19" s="104">
        <v>52</v>
      </c>
      <c r="V19" s="104">
        <v>52</v>
      </c>
      <c r="W19" s="104">
        <v>34</v>
      </c>
      <c r="X19" s="104">
        <v>34</v>
      </c>
      <c r="Y19" s="104">
        <v>34</v>
      </c>
      <c r="Z19" s="104">
        <v>34</v>
      </c>
    </row>
    <row r="20" spans="10:26" ht="31.5" customHeight="1" x14ac:dyDescent="0.3">
      <c r="J20" s="103" t="s">
        <v>246</v>
      </c>
      <c r="K20" s="107">
        <v>10</v>
      </c>
      <c r="L20" s="107">
        <v>10</v>
      </c>
      <c r="M20" s="107">
        <v>10</v>
      </c>
      <c r="N20" s="107">
        <v>7</v>
      </c>
      <c r="O20" s="107">
        <v>15</v>
      </c>
      <c r="P20" s="107">
        <v>20</v>
      </c>
      <c r="Q20" s="107">
        <v>20</v>
      </c>
      <c r="S20" s="103" t="s">
        <v>246</v>
      </c>
      <c r="T20" s="105">
        <v>10</v>
      </c>
      <c r="U20" s="105">
        <v>10</v>
      </c>
      <c r="V20" s="105">
        <v>10</v>
      </c>
      <c r="W20" s="105">
        <v>7</v>
      </c>
      <c r="X20" s="105">
        <v>15</v>
      </c>
      <c r="Y20" s="105">
        <v>20</v>
      </c>
      <c r="Z20" s="105">
        <v>20</v>
      </c>
    </row>
    <row r="21" spans="10:26" x14ac:dyDescent="0.3">
      <c r="J21" s="103" t="s">
        <v>247</v>
      </c>
      <c r="K21" s="110">
        <f t="shared" ref="K21:Q21" si="5">PRODUCT(K17:K20)</f>
        <v>3640</v>
      </c>
      <c r="L21" s="110">
        <f t="shared" si="5"/>
        <v>87360</v>
      </c>
      <c r="M21" s="110">
        <f t="shared" si="5"/>
        <v>87360</v>
      </c>
      <c r="N21" s="110">
        <f t="shared" si="5"/>
        <v>39984</v>
      </c>
      <c r="O21" s="110">
        <f t="shared" si="5"/>
        <v>85680</v>
      </c>
      <c r="P21" s="110">
        <f t="shared" si="5"/>
        <v>114240</v>
      </c>
      <c r="Q21" s="110">
        <f t="shared" si="5"/>
        <v>114240</v>
      </c>
      <c r="S21" s="103" t="s">
        <v>247</v>
      </c>
      <c r="T21" s="110">
        <f t="shared" ref="T21:Z21" si="6">PRODUCT(T17:T20)</f>
        <v>0</v>
      </c>
      <c r="U21" s="110">
        <f t="shared" si="6"/>
        <v>20800</v>
      </c>
      <c r="V21" s="110">
        <f t="shared" si="6"/>
        <v>20800</v>
      </c>
      <c r="W21" s="110">
        <f t="shared" si="6"/>
        <v>9520</v>
      </c>
      <c r="X21" s="110">
        <f t="shared" si="6"/>
        <v>20400</v>
      </c>
      <c r="Y21" s="110">
        <f t="shared" si="6"/>
        <v>27200</v>
      </c>
      <c r="Z21" s="110">
        <f t="shared" si="6"/>
        <v>27200</v>
      </c>
    </row>
    <row r="22" spans="10:26" x14ac:dyDescent="0.3">
      <c r="J22" s="103" t="s">
        <v>34</v>
      </c>
      <c r="K22" s="98"/>
      <c r="L22" s="98"/>
      <c r="M22" s="98"/>
      <c r="N22" s="98"/>
      <c r="O22" s="98"/>
      <c r="P22" s="98"/>
      <c r="Q22" s="99"/>
    </row>
    <row r="23" spans="10:26" x14ac:dyDescent="0.3">
      <c r="J23" s="103" t="s">
        <v>42</v>
      </c>
      <c r="K23" s="106">
        <v>1</v>
      </c>
      <c r="L23" s="106">
        <v>24</v>
      </c>
      <c r="M23" s="104">
        <v>24</v>
      </c>
      <c r="N23" s="106">
        <v>24</v>
      </c>
      <c r="O23" s="106">
        <v>24</v>
      </c>
      <c r="P23" s="104">
        <v>24</v>
      </c>
      <c r="Q23" s="104">
        <v>24</v>
      </c>
    </row>
    <row r="24" spans="10:26" x14ac:dyDescent="0.3">
      <c r="J24" s="103" t="s">
        <v>43</v>
      </c>
      <c r="K24" s="107">
        <v>7</v>
      </c>
      <c r="L24" s="107">
        <v>7</v>
      </c>
      <c r="M24" s="105">
        <v>7</v>
      </c>
      <c r="N24" s="107">
        <v>7</v>
      </c>
      <c r="O24" s="107">
        <v>7</v>
      </c>
      <c r="P24" s="105">
        <v>7</v>
      </c>
      <c r="Q24" s="105">
        <v>7</v>
      </c>
    </row>
    <row r="25" spans="10:26" x14ac:dyDescent="0.3">
      <c r="J25" s="103" t="s">
        <v>245</v>
      </c>
      <c r="K25" s="106">
        <v>52</v>
      </c>
      <c r="L25" s="106">
        <v>52</v>
      </c>
      <c r="M25" s="106">
        <v>52</v>
      </c>
      <c r="N25" s="106">
        <v>34</v>
      </c>
      <c r="O25" s="106">
        <v>34</v>
      </c>
      <c r="P25" s="106">
        <v>34</v>
      </c>
      <c r="Q25" s="106">
        <v>34</v>
      </c>
    </row>
    <row r="26" spans="10:26" x14ac:dyDescent="0.3">
      <c r="J26" s="103" t="s">
        <v>246</v>
      </c>
      <c r="K26" s="107">
        <v>10</v>
      </c>
      <c r="L26" s="107">
        <v>10</v>
      </c>
      <c r="M26" s="107">
        <v>10</v>
      </c>
      <c r="N26" s="107">
        <v>7</v>
      </c>
      <c r="O26" s="107">
        <v>15</v>
      </c>
      <c r="P26" s="107">
        <v>20</v>
      </c>
      <c r="Q26" s="107">
        <v>20</v>
      </c>
    </row>
    <row r="27" spans="10:26" x14ac:dyDescent="0.3">
      <c r="J27" s="103" t="s">
        <v>247</v>
      </c>
      <c r="K27" s="110">
        <f t="shared" ref="K27:Q27" si="7">PRODUCT(K23:K26)</f>
        <v>3640</v>
      </c>
      <c r="L27" s="110">
        <f t="shared" si="7"/>
        <v>87360</v>
      </c>
      <c r="M27" s="110">
        <f t="shared" si="7"/>
        <v>87360</v>
      </c>
      <c r="N27" s="110">
        <f t="shared" si="7"/>
        <v>39984</v>
      </c>
      <c r="O27" s="110">
        <f t="shared" si="7"/>
        <v>85680</v>
      </c>
      <c r="P27" s="110">
        <f t="shared" si="7"/>
        <v>114240</v>
      </c>
      <c r="Q27" s="110">
        <f t="shared" si="7"/>
        <v>114240</v>
      </c>
    </row>
    <row r="28" spans="10:26" ht="37.5" x14ac:dyDescent="0.3">
      <c r="J28" s="103" t="s">
        <v>37</v>
      </c>
      <c r="K28" s="98"/>
      <c r="L28" s="98"/>
      <c r="M28" s="98"/>
      <c r="N28" s="98"/>
      <c r="O28" s="98"/>
      <c r="P28" s="98"/>
      <c r="Q28" s="99"/>
    </row>
    <row r="29" spans="10:26" x14ac:dyDescent="0.3">
      <c r="J29" s="103" t="s">
        <v>42</v>
      </c>
      <c r="K29" s="106">
        <v>4</v>
      </c>
      <c r="L29" s="106">
        <v>24</v>
      </c>
      <c r="M29" s="106">
        <v>24</v>
      </c>
      <c r="N29" s="106">
        <v>24</v>
      </c>
      <c r="O29" s="106">
        <v>24</v>
      </c>
      <c r="P29" s="106">
        <v>24</v>
      </c>
      <c r="Q29" s="106">
        <v>24</v>
      </c>
    </row>
    <row r="30" spans="10:26" x14ac:dyDescent="0.3">
      <c r="J30" s="103" t="s">
        <v>43</v>
      </c>
      <c r="K30" s="107">
        <v>7</v>
      </c>
      <c r="L30" s="107">
        <v>7</v>
      </c>
      <c r="M30" s="107">
        <v>7</v>
      </c>
      <c r="N30" s="107">
        <v>7</v>
      </c>
      <c r="O30" s="107">
        <v>7</v>
      </c>
      <c r="P30" s="107">
        <v>7</v>
      </c>
      <c r="Q30" s="107">
        <v>7</v>
      </c>
    </row>
    <row r="31" spans="10:26" x14ac:dyDescent="0.3">
      <c r="J31" s="103" t="s">
        <v>245</v>
      </c>
      <c r="K31" s="106">
        <v>52</v>
      </c>
      <c r="L31" s="106">
        <v>52</v>
      </c>
      <c r="M31" s="106">
        <v>52</v>
      </c>
      <c r="N31" s="106">
        <v>34</v>
      </c>
      <c r="O31" s="106">
        <v>34</v>
      </c>
      <c r="P31" s="106">
        <v>34</v>
      </c>
      <c r="Q31" s="106">
        <v>34</v>
      </c>
    </row>
    <row r="32" spans="10:26" x14ac:dyDescent="0.3">
      <c r="J32" s="103" t="s">
        <v>246</v>
      </c>
      <c r="K32" s="107">
        <v>10</v>
      </c>
      <c r="L32" s="107">
        <v>10</v>
      </c>
      <c r="M32" s="107">
        <v>10</v>
      </c>
      <c r="N32" s="107">
        <v>7</v>
      </c>
      <c r="O32" s="107">
        <v>15</v>
      </c>
      <c r="P32" s="107">
        <v>20</v>
      </c>
      <c r="Q32" s="107">
        <v>20</v>
      </c>
    </row>
    <row r="33" spans="1:17" x14ac:dyDescent="0.3">
      <c r="J33" s="103" t="s">
        <v>247</v>
      </c>
      <c r="K33" s="110">
        <f t="shared" ref="K33:Q33" si="8">PRODUCT(K29:K32)</f>
        <v>14560</v>
      </c>
      <c r="L33" s="110">
        <f t="shared" si="8"/>
        <v>87360</v>
      </c>
      <c r="M33" s="110">
        <f t="shared" si="8"/>
        <v>87360</v>
      </c>
      <c r="N33" s="110">
        <f t="shared" si="8"/>
        <v>39984</v>
      </c>
      <c r="O33" s="110">
        <f t="shared" si="8"/>
        <v>85680</v>
      </c>
      <c r="P33" s="110">
        <f t="shared" si="8"/>
        <v>114240</v>
      </c>
      <c r="Q33" s="110">
        <f t="shared" si="8"/>
        <v>114240</v>
      </c>
    </row>
    <row r="34" spans="1:17" ht="37.5" x14ac:dyDescent="0.3">
      <c r="J34" s="103" t="s">
        <v>36</v>
      </c>
      <c r="K34" s="98"/>
      <c r="L34" s="98"/>
      <c r="M34" s="98"/>
      <c r="N34" s="98"/>
      <c r="O34" s="98"/>
      <c r="P34" s="98"/>
      <c r="Q34" s="99"/>
    </row>
    <row r="35" spans="1:17" x14ac:dyDescent="0.3">
      <c r="J35" s="103" t="s">
        <v>42</v>
      </c>
      <c r="K35" s="106">
        <v>0</v>
      </c>
      <c r="L35" s="106">
        <v>8</v>
      </c>
      <c r="M35" s="104">
        <v>8</v>
      </c>
      <c r="N35" s="106">
        <v>8</v>
      </c>
      <c r="O35" s="106">
        <v>8</v>
      </c>
      <c r="P35" s="104">
        <v>8</v>
      </c>
      <c r="Q35" s="104">
        <v>8</v>
      </c>
    </row>
    <row r="36" spans="1:17" x14ac:dyDescent="0.3">
      <c r="J36" s="103" t="s">
        <v>43</v>
      </c>
      <c r="K36" s="107">
        <v>0</v>
      </c>
      <c r="L36" s="107">
        <v>5</v>
      </c>
      <c r="M36" s="105">
        <v>5</v>
      </c>
      <c r="N36" s="107">
        <v>5</v>
      </c>
      <c r="O36" s="107">
        <v>5</v>
      </c>
      <c r="P36" s="105">
        <v>5</v>
      </c>
      <c r="Q36" s="105">
        <v>5</v>
      </c>
    </row>
    <row r="37" spans="1:17" x14ac:dyDescent="0.3">
      <c r="J37" s="103" t="s">
        <v>245</v>
      </c>
      <c r="K37" s="106">
        <v>0</v>
      </c>
      <c r="L37" s="106">
        <v>52</v>
      </c>
      <c r="M37" s="106">
        <v>34</v>
      </c>
      <c r="N37" s="106">
        <v>34</v>
      </c>
      <c r="O37" s="106">
        <v>34</v>
      </c>
      <c r="P37" s="106">
        <v>34</v>
      </c>
      <c r="Q37" s="106">
        <v>34</v>
      </c>
    </row>
    <row r="38" spans="1:17" x14ac:dyDescent="0.3">
      <c r="J38" s="103" t="s">
        <v>246</v>
      </c>
      <c r="K38" s="107">
        <v>10</v>
      </c>
      <c r="L38" s="107">
        <v>10</v>
      </c>
      <c r="M38" s="107">
        <v>10</v>
      </c>
      <c r="N38" s="107">
        <v>7</v>
      </c>
      <c r="O38" s="107">
        <v>15</v>
      </c>
      <c r="P38" s="107">
        <v>20</v>
      </c>
      <c r="Q38" s="107">
        <v>20</v>
      </c>
    </row>
    <row r="39" spans="1:17" x14ac:dyDescent="0.3">
      <c r="J39" s="103" t="s">
        <v>247</v>
      </c>
      <c r="K39" s="110">
        <f t="shared" ref="K39:Q39" si="9">PRODUCT(K35:K38)</f>
        <v>0</v>
      </c>
      <c r="L39" s="110">
        <f t="shared" si="9"/>
        <v>20800</v>
      </c>
      <c r="M39" s="110">
        <f t="shared" si="9"/>
        <v>13600</v>
      </c>
      <c r="N39" s="110">
        <f t="shared" si="9"/>
        <v>9520</v>
      </c>
      <c r="O39" s="110">
        <f t="shared" si="9"/>
        <v>20400</v>
      </c>
      <c r="P39" s="110">
        <f t="shared" si="9"/>
        <v>27200</v>
      </c>
      <c r="Q39" s="110">
        <f t="shared" si="9"/>
        <v>27200</v>
      </c>
    </row>
    <row r="42" spans="1:17" x14ac:dyDescent="0.3">
      <c r="A42" s="226" t="s">
        <v>334</v>
      </c>
      <c r="B42" s="244" t="s">
        <v>333</v>
      </c>
      <c r="C42" s="244"/>
      <c r="D42" s="244"/>
      <c r="E42" s="244"/>
      <c r="F42" s="244"/>
      <c r="G42" s="244"/>
      <c r="H42" s="244"/>
      <c r="I42" s="244"/>
    </row>
  </sheetData>
  <mergeCells count="6">
    <mergeCell ref="B42:I42"/>
    <mergeCell ref="AB1:AD2"/>
    <mergeCell ref="AF1:AH2"/>
    <mergeCell ref="J1:Q2"/>
    <mergeCell ref="S1:Z2"/>
    <mergeCell ref="A1: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4"/>
  <sheetViews>
    <sheetView zoomScale="40" zoomScaleNormal="40" workbookViewId="0">
      <selection sqref="A1:A3"/>
    </sheetView>
  </sheetViews>
  <sheetFormatPr defaultRowHeight="15" x14ac:dyDescent="0.25"/>
  <cols>
    <col min="1" max="1" width="19.7109375" style="175" customWidth="1"/>
    <col min="2" max="31" width="19.7109375" style="142" customWidth="1"/>
    <col min="32" max="16384" width="9.140625" style="142"/>
  </cols>
  <sheetData>
    <row r="1" spans="1:31" s="175" customFormat="1" ht="50.1" customHeight="1" x14ac:dyDescent="0.25">
      <c r="A1" s="256" t="s">
        <v>29</v>
      </c>
      <c r="B1" s="254" t="s">
        <v>275</v>
      </c>
      <c r="C1" s="254"/>
      <c r="D1" s="254"/>
      <c r="E1" s="254"/>
      <c r="F1" s="254"/>
      <c r="G1" s="254"/>
      <c r="H1" s="254"/>
      <c r="I1" s="254" t="s">
        <v>276</v>
      </c>
      <c r="J1" s="254"/>
      <c r="K1" s="254"/>
      <c r="L1" s="254"/>
      <c r="M1" s="254"/>
      <c r="N1" s="254"/>
      <c r="O1" s="254"/>
      <c r="P1" s="254" t="s">
        <v>298</v>
      </c>
      <c r="Q1" s="254"/>
      <c r="R1" s="254"/>
      <c r="S1" s="254"/>
      <c r="T1" s="254"/>
      <c r="U1" s="254"/>
      <c r="V1" s="254"/>
      <c r="W1" s="254" t="s">
        <v>299</v>
      </c>
      <c r="X1" s="254"/>
      <c r="Y1" s="254"/>
      <c r="Z1" s="254"/>
      <c r="AA1" s="254"/>
      <c r="AB1" s="254"/>
      <c r="AC1" s="254"/>
      <c r="AD1" s="252" t="s">
        <v>300</v>
      </c>
      <c r="AE1" s="253"/>
    </row>
    <row r="2" spans="1:31" s="175" customFormat="1" ht="18.75" x14ac:dyDescent="0.25">
      <c r="A2" s="257"/>
      <c r="B2" s="174" t="s">
        <v>48</v>
      </c>
      <c r="C2" s="174" t="s">
        <v>57</v>
      </c>
      <c r="D2" s="254" t="s">
        <v>58</v>
      </c>
      <c r="E2" s="254"/>
      <c r="F2" s="254"/>
      <c r="G2" s="254"/>
      <c r="H2" s="254"/>
      <c r="I2" s="174" t="s">
        <v>48</v>
      </c>
      <c r="J2" s="174" t="s">
        <v>57</v>
      </c>
      <c r="K2" s="254" t="s">
        <v>58</v>
      </c>
      <c r="L2" s="254"/>
      <c r="M2" s="254"/>
      <c r="N2" s="254"/>
      <c r="O2" s="254"/>
      <c r="P2" s="174" t="s">
        <v>48</v>
      </c>
      <c r="Q2" s="174" t="s">
        <v>57</v>
      </c>
      <c r="R2" s="254" t="s">
        <v>58</v>
      </c>
      <c r="S2" s="254"/>
      <c r="T2" s="254"/>
      <c r="U2" s="254"/>
      <c r="V2" s="254"/>
      <c r="W2" s="174" t="s">
        <v>48</v>
      </c>
      <c r="X2" s="174" t="s">
        <v>57</v>
      </c>
      <c r="Y2" s="254" t="s">
        <v>58</v>
      </c>
      <c r="Z2" s="254"/>
      <c r="AA2" s="254"/>
      <c r="AB2" s="254"/>
      <c r="AC2" s="254"/>
      <c r="AD2" s="252"/>
      <c r="AE2" s="253"/>
    </row>
    <row r="3" spans="1:31" s="175" customFormat="1" ht="37.5" x14ac:dyDescent="0.25">
      <c r="A3" s="258"/>
      <c r="B3" s="176" t="s">
        <v>306</v>
      </c>
      <c r="C3" s="176" t="s">
        <v>269</v>
      </c>
      <c r="D3" s="176" t="s">
        <v>270</v>
      </c>
      <c r="E3" s="176" t="s">
        <v>271</v>
      </c>
      <c r="F3" s="176" t="s">
        <v>272</v>
      </c>
      <c r="G3" s="176" t="s">
        <v>273</v>
      </c>
      <c r="H3" s="176" t="s">
        <v>274</v>
      </c>
      <c r="I3" s="177" t="s">
        <v>277</v>
      </c>
      <c r="J3" s="177" t="s">
        <v>278</v>
      </c>
      <c r="K3" s="177" t="s">
        <v>279</v>
      </c>
      <c r="L3" s="177" t="s">
        <v>280</v>
      </c>
      <c r="M3" s="177" t="s">
        <v>281</v>
      </c>
      <c r="N3" s="177" t="s">
        <v>282</v>
      </c>
      <c r="O3" s="177" t="s">
        <v>283</v>
      </c>
      <c r="P3" s="177" t="s">
        <v>284</v>
      </c>
      <c r="Q3" s="177" t="s">
        <v>285</v>
      </c>
      <c r="R3" s="177" t="s">
        <v>286</v>
      </c>
      <c r="S3" s="177" t="s">
        <v>287</v>
      </c>
      <c r="T3" s="177" t="s">
        <v>288</v>
      </c>
      <c r="U3" s="177" t="s">
        <v>289</v>
      </c>
      <c r="V3" s="177" t="s">
        <v>290</v>
      </c>
      <c r="W3" s="177" t="s">
        <v>291</v>
      </c>
      <c r="X3" s="177" t="s">
        <v>292</v>
      </c>
      <c r="Y3" s="177" t="s">
        <v>293</v>
      </c>
      <c r="Z3" s="177" t="s">
        <v>294</v>
      </c>
      <c r="AA3" s="177" t="s">
        <v>295</v>
      </c>
      <c r="AB3" s="177" t="s">
        <v>296</v>
      </c>
      <c r="AC3" s="177" t="s">
        <v>297</v>
      </c>
      <c r="AD3" s="178" t="s">
        <v>301</v>
      </c>
      <c r="AE3" s="178" t="s">
        <v>302</v>
      </c>
    </row>
    <row r="4" spans="1:31" ht="15.75" x14ac:dyDescent="0.25">
      <c r="A4" s="15" t="s">
        <v>2</v>
      </c>
      <c r="B4" s="143">
        <v>1</v>
      </c>
      <c r="C4" s="143">
        <v>1</v>
      </c>
      <c r="D4" s="143">
        <v>0.2</v>
      </c>
      <c r="E4" s="143">
        <v>0.2</v>
      </c>
      <c r="F4" s="143">
        <v>0.2</v>
      </c>
      <c r="G4" s="143">
        <v>0.2</v>
      </c>
      <c r="H4" s="143">
        <v>0.2</v>
      </c>
      <c r="I4" s="143">
        <v>1</v>
      </c>
      <c r="J4" s="143">
        <v>1</v>
      </c>
      <c r="K4" s="143">
        <v>0.2</v>
      </c>
      <c r="L4" s="143">
        <v>0.2</v>
      </c>
      <c r="M4" s="143">
        <v>0.2</v>
      </c>
      <c r="N4" s="143">
        <v>0.2</v>
      </c>
      <c r="O4" s="143">
        <v>0.2</v>
      </c>
      <c r="P4" s="143">
        <v>1</v>
      </c>
      <c r="Q4" s="143">
        <v>1</v>
      </c>
      <c r="R4" s="143">
        <v>0.2</v>
      </c>
      <c r="S4" s="143">
        <v>0.2</v>
      </c>
      <c r="T4" s="143">
        <v>0.2</v>
      </c>
      <c r="U4" s="143">
        <v>0.2</v>
      </c>
      <c r="V4" s="143">
        <v>0.2</v>
      </c>
      <c r="W4" s="143">
        <v>0</v>
      </c>
      <c r="X4" s="143">
        <v>1</v>
      </c>
      <c r="Y4" s="143">
        <v>0.25</v>
      </c>
      <c r="Z4" s="143">
        <v>0</v>
      </c>
      <c r="AA4" s="143">
        <v>0.25</v>
      </c>
      <c r="AB4" s="143">
        <v>0.25</v>
      </c>
      <c r="AC4" s="143">
        <v>0.25</v>
      </c>
      <c r="AD4" s="143">
        <v>0.5</v>
      </c>
      <c r="AE4" s="143">
        <v>0.5</v>
      </c>
    </row>
    <row r="5" spans="1:31" ht="15.75" x14ac:dyDescent="0.25">
      <c r="A5" s="15" t="s">
        <v>3</v>
      </c>
      <c r="B5" s="144">
        <v>1</v>
      </c>
      <c r="C5" s="144">
        <v>1</v>
      </c>
      <c r="D5" s="144">
        <v>0.2</v>
      </c>
      <c r="E5" s="144">
        <v>0.2</v>
      </c>
      <c r="F5" s="144">
        <v>0.2</v>
      </c>
      <c r="G5" s="144">
        <v>0.2</v>
      </c>
      <c r="H5" s="144">
        <v>0.2</v>
      </c>
      <c r="I5" s="144">
        <v>1</v>
      </c>
      <c r="J5" s="144">
        <v>1</v>
      </c>
      <c r="K5" s="144">
        <v>0.2</v>
      </c>
      <c r="L5" s="144">
        <v>0.2</v>
      </c>
      <c r="M5" s="144">
        <v>0.2</v>
      </c>
      <c r="N5" s="144">
        <v>0.2</v>
      </c>
      <c r="O5" s="144">
        <v>0.2</v>
      </c>
      <c r="P5" s="144">
        <v>1</v>
      </c>
      <c r="Q5" s="144">
        <v>1</v>
      </c>
      <c r="R5" s="144">
        <v>0.2</v>
      </c>
      <c r="S5" s="144">
        <v>0.2</v>
      </c>
      <c r="T5" s="144">
        <v>0.2</v>
      </c>
      <c r="U5" s="144">
        <v>0.2</v>
      </c>
      <c r="V5" s="144">
        <v>0.2</v>
      </c>
      <c r="W5" s="144">
        <v>0</v>
      </c>
      <c r="X5" s="144">
        <v>1</v>
      </c>
      <c r="Y5" s="144">
        <v>0.25</v>
      </c>
      <c r="Z5" s="144">
        <v>0</v>
      </c>
      <c r="AA5" s="144">
        <v>0.25</v>
      </c>
      <c r="AB5" s="144">
        <v>0.25</v>
      </c>
      <c r="AC5" s="144">
        <v>0.25</v>
      </c>
      <c r="AD5" s="144">
        <v>0.5</v>
      </c>
      <c r="AE5" s="144">
        <v>0.5</v>
      </c>
    </row>
    <row r="6" spans="1:31" ht="15.75" x14ac:dyDescent="0.25">
      <c r="A6" s="15" t="s">
        <v>4</v>
      </c>
      <c r="B6" s="143">
        <v>1</v>
      </c>
      <c r="C6" s="143">
        <v>1</v>
      </c>
      <c r="D6" s="143">
        <v>0.2</v>
      </c>
      <c r="E6" s="143">
        <v>0.2</v>
      </c>
      <c r="F6" s="143">
        <v>0.2</v>
      </c>
      <c r="G6" s="143">
        <v>0.2</v>
      </c>
      <c r="H6" s="143">
        <v>0.2</v>
      </c>
      <c r="I6" s="143">
        <v>1</v>
      </c>
      <c r="J6" s="143">
        <v>1</v>
      </c>
      <c r="K6" s="143">
        <v>0.2</v>
      </c>
      <c r="L6" s="143">
        <v>0.2</v>
      </c>
      <c r="M6" s="143">
        <v>0.2</v>
      </c>
      <c r="N6" s="143">
        <v>0.2</v>
      </c>
      <c r="O6" s="143">
        <v>0.2</v>
      </c>
      <c r="P6" s="143">
        <v>1</v>
      </c>
      <c r="Q6" s="143">
        <v>1</v>
      </c>
      <c r="R6" s="143">
        <v>0.2</v>
      </c>
      <c r="S6" s="143">
        <v>0.2</v>
      </c>
      <c r="T6" s="143">
        <v>0.2</v>
      </c>
      <c r="U6" s="143">
        <v>0.2</v>
      </c>
      <c r="V6" s="143">
        <v>0.2</v>
      </c>
      <c r="W6" s="143">
        <v>0</v>
      </c>
      <c r="X6" s="143">
        <v>1</v>
      </c>
      <c r="Y6" s="143">
        <v>0.25</v>
      </c>
      <c r="Z6" s="143">
        <v>0</v>
      </c>
      <c r="AA6" s="143">
        <v>0.25</v>
      </c>
      <c r="AB6" s="143">
        <v>0.25</v>
      </c>
      <c r="AC6" s="143">
        <v>0.25</v>
      </c>
      <c r="AD6" s="143">
        <v>0.5</v>
      </c>
      <c r="AE6" s="143">
        <v>0.5</v>
      </c>
    </row>
    <row r="7" spans="1:31" ht="15.75" x14ac:dyDescent="0.25">
      <c r="A7" s="15" t="s">
        <v>5</v>
      </c>
      <c r="B7" s="144">
        <v>1</v>
      </c>
      <c r="C7" s="144">
        <v>1</v>
      </c>
      <c r="D7" s="144">
        <v>0.2</v>
      </c>
      <c r="E7" s="144">
        <v>0.2</v>
      </c>
      <c r="F7" s="144">
        <v>0.2</v>
      </c>
      <c r="G7" s="144">
        <v>0.2</v>
      </c>
      <c r="H7" s="144">
        <v>0.2</v>
      </c>
      <c r="I7" s="144">
        <v>1</v>
      </c>
      <c r="J7" s="144">
        <v>1</v>
      </c>
      <c r="K7" s="144">
        <v>0.2</v>
      </c>
      <c r="L7" s="144">
        <v>0.2</v>
      </c>
      <c r="M7" s="144">
        <v>0.2</v>
      </c>
      <c r="N7" s="144">
        <v>0.2</v>
      </c>
      <c r="O7" s="144">
        <v>0.2</v>
      </c>
      <c r="P7" s="144">
        <v>1</v>
      </c>
      <c r="Q7" s="144">
        <v>1</v>
      </c>
      <c r="R7" s="144">
        <v>0.2</v>
      </c>
      <c r="S7" s="144">
        <v>0.2</v>
      </c>
      <c r="T7" s="144">
        <v>0.2</v>
      </c>
      <c r="U7" s="144">
        <v>0.2</v>
      </c>
      <c r="V7" s="144">
        <v>0.2</v>
      </c>
      <c r="W7" s="144">
        <v>0</v>
      </c>
      <c r="X7" s="144">
        <v>1</v>
      </c>
      <c r="Y7" s="144">
        <v>0.25</v>
      </c>
      <c r="Z7" s="144">
        <v>0</v>
      </c>
      <c r="AA7" s="144">
        <v>0.25</v>
      </c>
      <c r="AB7" s="144">
        <v>0.25</v>
      </c>
      <c r="AC7" s="144">
        <v>0.25</v>
      </c>
      <c r="AD7" s="144">
        <v>0.5</v>
      </c>
      <c r="AE7" s="144">
        <v>0.5</v>
      </c>
    </row>
    <row r="8" spans="1:31" ht="15.75" x14ac:dyDescent="0.25">
      <c r="A8" s="15" t="s">
        <v>6</v>
      </c>
      <c r="B8" s="143">
        <v>1</v>
      </c>
      <c r="C8" s="143">
        <v>1</v>
      </c>
      <c r="D8" s="143">
        <v>0.2</v>
      </c>
      <c r="E8" s="143">
        <v>0.2</v>
      </c>
      <c r="F8" s="143">
        <v>0.2</v>
      </c>
      <c r="G8" s="143">
        <v>0.2</v>
      </c>
      <c r="H8" s="143">
        <v>0.2</v>
      </c>
      <c r="I8" s="143">
        <v>1</v>
      </c>
      <c r="J8" s="143">
        <v>1</v>
      </c>
      <c r="K8" s="143">
        <v>0.2</v>
      </c>
      <c r="L8" s="143">
        <v>0.2</v>
      </c>
      <c r="M8" s="143">
        <v>0.2</v>
      </c>
      <c r="N8" s="143">
        <v>0.2</v>
      </c>
      <c r="O8" s="143">
        <v>0.2</v>
      </c>
      <c r="P8" s="143">
        <v>1</v>
      </c>
      <c r="Q8" s="143">
        <v>1</v>
      </c>
      <c r="R8" s="143">
        <v>0.2</v>
      </c>
      <c r="S8" s="143">
        <v>0.2</v>
      </c>
      <c r="T8" s="143">
        <v>0.2</v>
      </c>
      <c r="U8" s="143">
        <v>0.2</v>
      </c>
      <c r="V8" s="143">
        <v>0.2</v>
      </c>
      <c r="W8" s="143">
        <v>0</v>
      </c>
      <c r="X8" s="143">
        <v>1</v>
      </c>
      <c r="Y8" s="143">
        <v>0.25</v>
      </c>
      <c r="Z8" s="143">
        <v>0</v>
      </c>
      <c r="AA8" s="143">
        <v>0.25</v>
      </c>
      <c r="AB8" s="143">
        <v>0.25</v>
      </c>
      <c r="AC8" s="143">
        <v>0.25</v>
      </c>
      <c r="AD8" s="143">
        <v>0.5</v>
      </c>
      <c r="AE8" s="143">
        <v>0.5</v>
      </c>
    </row>
    <row r="9" spans="1:31" ht="15.75" x14ac:dyDescent="0.25">
      <c r="A9" s="15" t="s">
        <v>7</v>
      </c>
      <c r="B9" s="144">
        <v>1</v>
      </c>
      <c r="C9" s="144">
        <v>1</v>
      </c>
      <c r="D9" s="144">
        <v>0.2</v>
      </c>
      <c r="E9" s="144">
        <v>0.2</v>
      </c>
      <c r="F9" s="144">
        <v>0.2</v>
      </c>
      <c r="G9" s="144">
        <v>0.2</v>
      </c>
      <c r="H9" s="144">
        <v>0.2</v>
      </c>
      <c r="I9" s="144">
        <v>1</v>
      </c>
      <c r="J9" s="144">
        <v>1</v>
      </c>
      <c r="K9" s="144">
        <v>0.2</v>
      </c>
      <c r="L9" s="144">
        <v>0.2</v>
      </c>
      <c r="M9" s="144">
        <v>0.2</v>
      </c>
      <c r="N9" s="144">
        <v>0.2</v>
      </c>
      <c r="O9" s="144">
        <v>0.2</v>
      </c>
      <c r="P9" s="144">
        <v>1</v>
      </c>
      <c r="Q9" s="144">
        <v>1</v>
      </c>
      <c r="R9" s="144">
        <v>0.2</v>
      </c>
      <c r="S9" s="144">
        <v>0.2</v>
      </c>
      <c r="T9" s="144">
        <v>0.2</v>
      </c>
      <c r="U9" s="144">
        <v>0.2</v>
      </c>
      <c r="V9" s="144">
        <v>0.2</v>
      </c>
      <c r="W9" s="144">
        <v>0</v>
      </c>
      <c r="X9" s="144">
        <v>1</v>
      </c>
      <c r="Y9" s="144">
        <v>0.25</v>
      </c>
      <c r="Z9" s="144">
        <v>0</v>
      </c>
      <c r="AA9" s="144">
        <v>0.25</v>
      </c>
      <c r="AB9" s="144">
        <v>0.25</v>
      </c>
      <c r="AC9" s="144">
        <v>0.25</v>
      </c>
      <c r="AD9" s="144">
        <v>0.5</v>
      </c>
      <c r="AE9" s="144">
        <v>0.5</v>
      </c>
    </row>
    <row r="10" spans="1:31" ht="15.75" x14ac:dyDescent="0.25">
      <c r="A10" s="15" t="s">
        <v>8</v>
      </c>
      <c r="B10" s="143">
        <v>1</v>
      </c>
      <c r="C10" s="143">
        <v>1</v>
      </c>
      <c r="D10" s="143">
        <v>0.2</v>
      </c>
      <c r="E10" s="143">
        <v>0.2</v>
      </c>
      <c r="F10" s="143">
        <v>0.2</v>
      </c>
      <c r="G10" s="143">
        <v>0.2</v>
      </c>
      <c r="H10" s="143">
        <v>0.2</v>
      </c>
      <c r="I10" s="143">
        <v>1</v>
      </c>
      <c r="J10" s="143">
        <v>1</v>
      </c>
      <c r="K10" s="143">
        <v>0.2</v>
      </c>
      <c r="L10" s="143">
        <v>0.2</v>
      </c>
      <c r="M10" s="143">
        <v>0.2</v>
      </c>
      <c r="N10" s="143">
        <v>0.2</v>
      </c>
      <c r="O10" s="143">
        <v>0.2</v>
      </c>
      <c r="P10" s="143">
        <v>1</v>
      </c>
      <c r="Q10" s="143">
        <v>1</v>
      </c>
      <c r="R10" s="143">
        <v>0.2</v>
      </c>
      <c r="S10" s="143">
        <v>0.2</v>
      </c>
      <c r="T10" s="143">
        <v>0.2</v>
      </c>
      <c r="U10" s="143">
        <v>0.2</v>
      </c>
      <c r="V10" s="143">
        <v>0.2</v>
      </c>
      <c r="W10" s="143">
        <v>0</v>
      </c>
      <c r="X10" s="143">
        <v>1</v>
      </c>
      <c r="Y10" s="143">
        <v>0.25</v>
      </c>
      <c r="Z10" s="143">
        <v>0</v>
      </c>
      <c r="AA10" s="143">
        <v>0.25</v>
      </c>
      <c r="AB10" s="143">
        <v>0.25</v>
      </c>
      <c r="AC10" s="143">
        <v>0.25</v>
      </c>
      <c r="AD10" s="143">
        <v>0.5</v>
      </c>
      <c r="AE10" s="143">
        <v>0.5</v>
      </c>
    </row>
    <row r="11" spans="1:31" ht="15.75" x14ac:dyDescent="0.25">
      <c r="A11" s="15" t="s">
        <v>9</v>
      </c>
      <c r="B11" s="144">
        <v>1</v>
      </c>
      <c r="C11" s="144">
        <v>1</v>
      </c>
      <c r="D11" s="144">
        <v>0.2</v>
      </c>
      <c r="E11" s="144">
        <v>0.2</v>
      </c>
      <c r="F11" s="144">
        <v>0.2</v>
      </c>
      <c r="G11" s="144">
        <v>0.2</v>
      </c>
      <c r="H11" s="144">
        <v>0.2</v>
      </c>
      <c r="I11" s="144">
        <v>1</v>
      </c>
      <c r="J11" s="144">
        <v>1</v>
      </c>
      <c r="K11" s="144">
        <v>0.2</v>
      </c>
      <c r="L11" s="144">
        <v>0.2</v>
      </c>
      <c r="M11" s="144">
        <v>0.2</v>
      </c>
      <c r="N11" s="144">
        <v>0.2</v>
      </c>
      <c r="O11" s="144">
        <v>0.2</v>
      </c>
      <c r="P11" s="144">
        <v>1</v>
      </c>
      <c r="Q11" s="144">
        <v>1</v>
      </c>
      <c r="R11" s="144">
        <v>0.2</v>
      </c>
      <c r="S11" s="144">
        <v>0.2</v>
      </c>
      <c r="T11" s="144">
        <v>0.2</v>
      </c>
      <c r="U11" s="144">
        <v>0.2</v>
      </c>
      <c r="V11" s="144">
        <v>0.2</v>
      </c>
      <c r="W11" s="144">
        <v>0</v>
      </c>
      <c r="X11" s="144">
        <v>1</v>
      </c>
      <c r="Y11" s="144">
        <v>0.25</v>
      </c>
      <c r="Z11" s="144">
        <v>0</v>
      </c>
      <c r="AA11" s="144">
        <v>0.25</v>
      </c>
      <c r="AB11" s="144">
        <v>0.25</v>
      </c>
      <c r="AC11" s="144">
        <v>0.25</v>
      </c>
      <c r="AD11" s="144">
        <v>0.5</v>
      </c>
      <c r="AE11" s="144">
        <v>0.5</v>
      </c>
    </row>
    <row r="12" spans="1:31" ht="15.75" x14ac:dyDescent="0.25">
      <c r="A12" s="15" t="s">
        <v>10</v>
      </c>
      <c r="B12" s="143">
        <v>1</v>
      </c>
      <c r="C12" s="143">
        <v>1</v>
      </c>
      <c r="D12" s="143">
        <v>0.2</v>
      </c>
      <c r="E12" s="143">
        <v>0.2</v>
      </c>
      <c r="F12" s="143">
        <v>0.2</v>
      </c>
      <c r="G12" s="143">
        <v>0.2</v>
      </c>
      <c r="H12" s="143">
        <v>0.2</v>
      </c>
      <c r="I12" s="143">
        <v>1</v>
      </c>
      <c r="J12" s="143">
        <v>1</v>
      </c>
      <c r="K12" s="143">
        <v>0.2</v>
      </c>
      <c r="L12" s="143">
        <v>0.2</v>
      </c>
      <c r="M12" s="143">
        <v>0.2</v>
      </c>
      <c r="N12" s="143">
        <v>0.2</v>
      </c>
      <c r="O12" s="143">
        <v>0.2</v>
      </c>
      <c r="P12" s="143">
        <v>1</v>
      </c>
      <c r="Q12" s="143">
        <v>1</v>
      </c>
      <c r="R12" s="143">
        <v>0.2</v>
      </c>
      <c r="S12" s="143">
        <v>0.2</v>
      </c>
      <c r="T12" s="143">
        <v>0.2</v>
      </c>
      <c r="U12" s="143">
        <v>0.2</v>
      </c>
      <c r="V12" s="143">
        <v>0.2</v>
      </c>
      <c r="W12" s="143">
        <v>0</v>
      </c>
      <c r="X12" s="143">
        <v>1</v>
      </c>
      <c r="Y12" s="143">
        <v>0.25</v>
      </c>
      <c r="Z12" s="143">
        <v>0</v>
      </c>
      <c r="AA12" s="143">
        <v>0.25</v>
      </c>
      <c r="AB12" s="143">
        <v>0.25</v>
      </c>
      <c r="AC12" s="143">
        <v>0.25</v>
      </c>
      <c r="AD12" s="143">
        <v>0.5</v>
      </c>
      <c r="AE12" s="143">
        <v>0.5</v>
      </c>
    </row>
    <row r="13" spans="1:31" ht="15.75" x14ac:dyDescent="0.25">
      <c r="A13" s="15" t="s">
        <v>11</v>
      </c>
      <c r="B13" s="144">
        <v>1</v>
      </c>
      <c r="C13" s="144">
        <v>1</v>
      </c>
      <c r="D13" s="144">
        <v>0.2</v>
      </c>
      <c r="E13" s="144">
        <v>0.2</v>
      </c>
      <c r="F13" s="144">
        <v>0.2</v>
      </c>
      <c r="G13" s="144">
        <v>0.2</v>
      </c>
      <c r="H13" s="144">
        <v>0.2</v>
      </c>
      <c r="I13" s="144">
        <v>1</v>
      </c>
      <c r="J13" s="144">
        <v>1</v>
      </c>
      <c r="K13" s="144">
        <v>0.2</v>
      </c>
      <c r="L13" s="144">
        <v>0.2</v>
      </c>
      <c r="M13" s="144">
        <v>0.2</v>
      </c>
      <c r="N13" s="144">
        <v>0.2</v>
      </c>
      <c r="O13" s="144">
        <v>0.2</v>
      </c>
      <c r="P13" s="144">
        <v>1</v>
      </c>
      <c r="Q13" s="144">
        <v>1</v>
      </c>
      <c r="R13" s="144">
        <v>0.2</v>
      </c>
      <c r="S13" s="144">
        <v>0.2</v>
      </c>
      <c r="T13" s="144">
        <v>0.2</v>
      </c>
      <c r="U13" s="144">
        <v>0.2</v>
      </c>
      <c r="V13" s="144">
        <v>0.2</v>
      </c>
      <c r="W13" s="144">
        <v>0</v>
      </c>
      <c r="X13" s="144">
        <v>1</v>
      </c>
      <c r="Y13" s="144">
        <v>0.25</v>
      </c>
      <c r="Z13" s="144">
        <v>0</v>
      </c>
      <c r="AA13" s="144">
        <v>0.25</v>
      </c>
      <c r="AB13" s="144">
        <v>0.25</v>
      </c>
      <c r="AC13" s="144">
        <v>0.25</v>
      </c>
      <c r="AD13" s="144">
        <v>0.5</v>
      </c>
      <c r="AE13" s="144">
        <v>0.5</v>
      </c>
    </row>
    <row r="14" spans="1:31" ht="15.75" x14ac:dyDescent="0.25">
      <c r="A14" s="15" t="s">
        <v>12</v>
      </c>
      <c r="B14" s="143">
        <v>1</v>
      </c>
      <c r="C14" s="143">
        <v>1</v>
      </c>
      <c r="D14" s="143">
        <v>0.2</v>
      </c>
      <c r="E14" s="143">
        <v>0.2</v>
      </c>
      <c r="F14" s="143">
        <v>0.2</v>
      </c>
      <c r="G14" s="143">
        <v>0.2</v>
      </c>
      <c r="H14" s="143">
        <v>0.2</v>
      </c>
      <c r="I14" s="143">
        <v>1</v>
      </c>
      <c r="J14" s="143">
        <v>1</v>
      </c>
      <c r="K14" s="143">
        <v>0.2</v>
      </c>
      <c r="L14" s="143">
        <v>0.2</v>
      </c>
      <c r="M14" s="143">
        <v>0.2</v>
      </c>
      <c r="N14" s="143">
        <v>0.2</v>
      </c>
      <c r="O14" s="143">
        <v>0.2</v>
      </c>
      <c r="P14" s="143">
        <v>1</v>
      </c>
      <c r="Q14" s="143">
        <v>1</v>
      </c>
      <c r="R14" s="143">
        <v>0.2</v>
      </c>
      <c r="S14" s="143">
        <v>0.2</v>
      </c>
      <c r="T14" s="143">
        <v>0.2</v>
      </c>
      <c r="U14" s="143">
        <v>0.2</v>
      </c>
      <c r="V14" s="143">
        <v>0.2</v>
      </c>
      <c r="W14" s="143">
        <v>0</v>
      </c>
      <c r="X14" s="143">
        <v>1</v>
      </c>
      <c r="Y14" s="143">
        <v>0.25</v>
      </c>
      <c r="Z14" s="143">
        <v>0</v>
      </c>
      <c r="AA14" s="143">
        <v>0.25</v>
      </c>
      <c r="AB14" s="143">
        <v>0.25</v>
      </c>
      <c r="AC14" s="143">
        <v>0.25</v>
      </c>
      <c r="AD14" s="143">
        <v>0.5</v>
      </c>
      <c r="AE14" s="143">
        <v>0.5</v>
      </c>
    </row>
    <row r="15" spans="1:31" ht="15.75" x14ac:dyDescent="0.25">
      <c r="A15" s="15" t="s">
        <v>13</v>
      </c>
      <c r="B15" s="144">
        <v>1</v>
      </c>
      <c r="C15" s="144">
        <v>1</v>
      </c>
      <c r="D15" s="144">
        <v>0.2</v>
      </c>
      <c r="E15" s="144">
        <v>0.2</v>
      </c>
      <c r="F15" s="144">
        <v>0.2</v>
      </c>
      <c r="G15" s="144">
        <v>0.2</v>
      </c>
      <c r="H15" s="144">
        <v>0.2</v>
      </c>
      <c r="I15" s="144">
        <v>1</v>
      </c>
      <c r="J15" s="144">
        <v>1</v>
      </c>
      <c r="K15" s="144">
        <v>0.2</v>
      </c>
      <c r="L15" s="144">
        <v>0.2</v>
      </c>
      <c r="M15" s="144">
        <v>0.2</v>
      </c>
      <c r="N15" s="144">
        <v>0.2</v>
      </c>
      <c r="O15" s="144">
        <v>0.2</v>
      </c>
      <c r="P15" s="144">
        <v>1</v>
      </c>
      <c r="Q15" s="144">
        <v>1</v>
      </c>
      <c r="R15" s="144">
        <v>0.2</v>
      </c>
      <c r="S15" s="144">
        <v>0.2</v>
      </c>
      <c r="T15" s="144">
        <v>0.2</v>
      </c>
      <c r="U15" s="144">
        <v>0.2</v>
      </c>
      <c r="V15" s="144">
        <v>0.2</v>
      </c>
      <c r="W15" s="144">
        <v>0</v>
      </c>
      <c r="X15" s="144">
        <v>1</v>
      </c>
      <c r="Y15" s="144">
        <v>0.25</v>
      </c>
      <c r="Z15" s="144">
        <v>0</v>
      </c>
      <c r="AA15" s="144">
        <v>0.25</v>
      </c>
      <c r="AB15" s="144">
        <v>0.25</v>
      </c>
      <c r="AC15" s="144">
        <v>0.25</v>
      </c>
      <c r="AD15" s="144">
        <v>0.5</v>
      </c>
      <c r="AE15" s="144">
        <v>0.5</v>
      </c>
    </row>
    <row r="16" spans="1:31" ht="15.75" x14ac:dyDescent="0.25">
      <c r="A16" s="15" t="s">
        <v>14</v>
      </c>
      <c r="B16" s="143">
        <v>1</v>
      </c>
      <c r="C16" s="143">
        <v>1</v>
      </c>
      <c r="D16" s="143">
        <v>0.2</v>
      </c>
      <c r="E16" s="143">
        <v>0.2</v>
      </c>
      <c r="F16" s="143">
        <v>0.2</v>
      </c>
      <c r="G16" s="143">
        <v>0.2</v>
      </c>
      <c r="H16" s="143">
        <v>0.2</v>
      </c>
      <c r="I16" s="143">
        <v>1</v>
      </c>
      <c r="J16" s="143">
        <v>1</v>
      </c>
      <c r="K16" s="143">
        <v>0.2</v>
      </c>
      <c r="L16" s="143">
        <v>0.2</v>
      </c>
      <c r="M16" s="143">
        <v>0.2</v>
      </c>
      <c r="N16" s="143">
        <v>0.2</v>
      </c>
      <c r="O16" s="143">
        <v>0.2</v>
      </c>
      <c r="P16" s="143">
        <v>1</v>
      </c>
      <c r="Q16" s="143">
        <v>1</v>
      </c>
      <c r="R16" s="143">
        <v>0.2</v>
      </c>
      <c r="S16" s="143">
        <v>0.2</v>
      </c>
      <c r="T16" s="143">
        <v>0.2</v>
      </c>
      <c r="U16" s="143">
        <v>0.2</v>
      </c>
      <c r="V16" s="143">
        <v>0.2</v>
      </c>
      <c r="W16" s="143">
        <v>0</v>
      </c>
      <c r="X16" s="143">
        <v>1</v>
      </c>
      <c r="Y16" s="143">
        <v>0.25</v>
      </c>
      <c r="Z16" s="143">
        <v>0</v>
      </c>
      <c r="AA16" s="143">
        <v>0.25</v>
      </c>
      <c r="AB16" s="143">
        <v>0.25</v>
      </c>
      <c r="AC16" s="143">
        <v>0.25</v>
      </c>
      <c r="AD16" s="143">
        <v>0.5</v>
      </c>
      <c r="AE16" s="143">
        <v>0.5</v>
      </c>
    </row>
    <row r="17" spans="1:31" ht="15.75" x14ac:dyDescent="0.25">
      <c r="A17" s="15" t="s">
        <v>15</v>
      </c>
      <c r="B17" s="144">
        <v>1</v>
      </c>
      <c r="C17" s="144">
        <v>1</v>
      </c>
      <c r="D17" s="144">
        <v>0.2</v>
      </c>
      <c r="E17" s="144">
        <v>0.2</v>
      </c>
      <c r="F17" s="144">
        <v>0.2</v>
      </c>
      <c r="G17" s="144">
        <v>0.2</v>
      </c>
      <c r="H17" s="144">
        <v>0.2</v>
      </c>
      <c r="I17" s="144">
        <v>1</v>
      </c>
      <c r="J17" s="144">
        <v>1</v>
      </c>
      <c r="K17" s="144">
        <v>0.2</v>
      </c>
      <c r="L17" s="144">
        <v>0.2</v>
      </c>
      <c r="M17" s="144">
        <v>0.2</v>
      </c>
      <c r="N17" s="144">
        <v>0.2</v>
      </c>
      <c r="O17" s="144">
        <v>0.2</v>
      </c>
      <c r="P17" s="144">
        <v>1</v>
      </c>
      <c r="Q17" s="144">
        <v>1</v>
      </c>
      <c r="R17" s="144">
        <v>0.2</v>
      </c>
      <c r="S17" s="144">
        <v>0.2</v>
      </c>
      <c r="T17" s="144">
        <v>0.2</v>
      </c>
      <c r="U17" s="144">
        <v>0.2</v>
      </c>
      <c r="V17" s="144">
        <v>0.2</v>
      </c>
      <c r="W17" s="144">
        <v>0</v>
      </c>
      <c r="X17" s="144">
        <v>1</v>
      </c>
      <c r="Y17" s="144">
        <v>0.25</v>
      </c>
      <c r="Z17" s="144">
        <v>0</v>
      </c>
      <c r="AA17" s="144">
        <v>0.25</v>
      </c>
      <c r="AB17" s="144">
        <v>0.25</v>
      </c>
      <c r="AC17" s="144">
        <v>0.25</v>
      </c>
      <c r="AD17" s="144">
        <v>0.5</v>
      </c>
      <c r="AE17" s="144">
        <v>0.5</v>
      </c>
    </row>
    <row r="18" spans="1:31" ht="15.75" x14ac:dyDescent="0.25">
      <c r="A18" s="15" t="s">
        <v>16</v>
      </c>
      <c r="B18" s="143">
        <v>1</v>
      </c>
      <c r="C18" s="143">
        <v>1</v>
      </c>
      <c r="D18" s="143">
        <v>0.2</v>
      </c>
      <c r="E18" s="143">
        <v>0.2</v>
      </c>
      <c r="F18" s="143">
        <v>0.2</v>
      </c>
      <c r="G18" s="143">
        <v>0.2</v>
      </c>
      <c r="H18" s="143">
        <v>0.2</v>
      </c>
      <c r="I18" s="143">
        <v>1</v>
      </c>
      <c r="J18" s="143">
        <v>1</v>
      </c>
      <c r="K18" s="143">
        <v>0.2</v>
      </c>
      <c r="L18" s="143">
        <v>0.2</v>
      </c>
      <c r="M18" s="143">
        <v>0.2</v>
      </c>
      <c r="N18" s="143">
        <v>0.2</v>
      </c>
      <c r="O18" s="143">
        <v>0.2</v>
      </c>
      <c r="P18" s="143">
        <v>1</v>
      </c>
      <c r="Q18" s="143">
        <v>1</v>
      </c>
      <c r="R18" s="143">
        <v>0.2</v>
      </c>
      <c r="S18" s="143">
        <v>0.2</v>
      </c>
      <c r="T18" s="143">
        <v>0.2</v>
      </c>
      <c r="U18" s="143">
        <v>0.2</v>
      </c>
      <c r="V18" s="143">
        <v>0.2</v>
      </c>
      <c r="W18" s="143">
        <v>0</v>
      </c>
      <c r="X18" s="143">
        <v>1</v>
      </c>
      <c r="Y18" s="143">
        <v>0.25</v>
      </c>
      <c r="Z18" s="143">
        <v>0</v>
      </c>
      <c r="AA18" s="143">
        <v>0.25</v>
      </c>
      <c r="AB18" s="143">
        <v>0.25</v>
      </c>
      <c r="AC18" s="143">
        <v>0.25</v>
      </c>
      <c r="AD18" s="143">
        <v>0.5</v>
      </c>
      <c r="AE18" s="143">
        <v>0.5</v>
      </c>
    </row>
    <row r="19" spans="1:31" ht="15.75" x14ac:dyDescent="0.25">
      <c r="A19" s="15" t="s">
        <v>17</v>
      </c>
      <c r="B19" s="144">
        <v>1</v>
      </c>
      <c r="C19" s="144">
        <v>1</v>
      </c>
      <c r="D19" s="144">
        <v>0.2</v>
      </c>
      <c r="E19" s="144">
        <v>0.2</v>
      </c>
      <c r="F19" s="144">
        <v>0.2</v>
      </c>
      <c r="G19" s="144">
        <v>0.2</v>
      </c>
      <c r="H19" s="144">
        <v>0.2</v>
      </c>
      <c r="I19" s="144">
        <v>1</v>
      </c>
      <c r="J19" s="144">
        <v>1</v>
      </c>
      <c r="K19" s="144">
        <v>0.2</v>
      </c>
      <c r="L19" s="144">
        <v>0.2</v>
      </c>
      <c r="M19" s="144">
        <v>0.2</v>
      </c>
      <c r="N19" s="144">
        <v>0.2</v>
      </c>
      <c r="O19" s="144">
        <v>0.2</v>
      </c>
      <c r="P19" s="144">
        <v>1</v>
      </c>
      <c r="Q19" s="144">
        <v>1</v>
      </c>
      <c r="R19" s="144">
        <v>0.2</v>
      </c>
      <c r="S19" s="144">
        <v>0.2</v>
      </c>
      <c r="T19" s="144">
        <v>0.2</v>
      </c>
      <c r="U19" s="144">
        <v>0.2</v>
      </c>
      <c r="V19" s="144">
        <v>0.2</v>
      </c>
      <c r="W19" s="144">
        <v>0</v>
      </c>
      <c r="X19" s="144">
        <v>1</v>
      </c>
      <c r="Y19" s="144">
        <v>0.25</v>
      </c>
      <c r="Z19" s="144">
        <v>0</v>
      </c>
      <c r="AA19" s="144">
        <v>0.25</v>
      </c>
      <c r="AB19" s="144">
        <v>0.25</v>
      </c>
      <c r="AC19" s="144">
        <v>0.25</v>
      </c>
      <c r="AD19" s="144">
        <v>0.5</v>
      </c>
      <c r="AE19" s="144">
        <v>0.5</v>
      </c>
    </row>
    <row r="20" spans="1:31" ht="15.75" x14ac:dyDescent="0.25">
      <c r="A20" s="15" t="s">
        <v>18</v>
      </c>
      <c r="B20" s="143">
        <v>1</v>
      </c>
      <c r="C20" s="143">
        <v>1</v>
      </c>
      <c r="D20" s="143">
        <v>0.2</v>
      </c>
      <c r="E20" s="143">
        <v>0.2</v>
      </c>
      <c r="F20" s="143">
        <v>0.2</v>
      </c>
      <c r="G20" s="143">
        <v>0.2</v>
      </c>
      <c r="H20" s="143">
        <v>0.2</v>
      </c>
      <c r="I20" s="143">
        <v>1</v>
      </c>
      <c r="J20" s="143">
        <v>1</v>
      </c>
      <c r="K20" s="143">
        <v>0.2</v>
      </c>
      <c r="L20" s="143">
        <v>0.2</v>
      </c>
      <c r="M20" s="143">
        <v>0.2</v>
      </c>
      <c r="N20" s="143">
        <v>0.2</v>
      </c>
      <c r="O20" s="143">
        <v>0.2</v>
      </c>
      <c r="P20" s="143">
        <v>1</v>
      </c>
      <c r="Q20" s="143">
        <v>1</v>
      </c>
      <c r="R20" s="143">
        <v>0.2</v>
      </c>
      <c r="S20" s="143">
        <v>0.2</v>
      </c>
      <c r="T20" s="143">
        <v>0.2</v>
      </c>
      <c r="U20" s="143">
        <v>0.2</v>
      </c>
      <c r="V20" s="143">
        <v>0.2</v>
      </c>
      <c r="W20" s="143">
        <v>0</v>
      </c>
      <c r="X20" s="143">
        <v>1</v>
      </c>
      <c r="Y20" s="143">
        <v>0.25</v>
      </c>
      <c r="Z20" s="143">
        <v>0</v>
      </c>
      <c r="AA20" s="143">
        <v>0.25</v>
      </c>
      <c r="AB20" s="143">
        <v>0.25</v>
      </c>
      <c r="AC20" s="143">
        <v>0.25</v>
      </c>
      <c r="AD20" s="143">
        <v>0.5</v>
      </c>
      <c r="AE20" s="143">
        <v>0.5</v>
      </c>
    </row>
    <row r="21" spans="1:31" ht="15.75" x14ac:dyDescent="0.25">
      <c r="A21" s="15" t="s">
        <v>19</v>
      </c>
      <c r="B21" s="144">
        <v>1</v>
      </c>
      <c r="C21" s="144">
        <v>1</v>
      </c>
      <c r="D21" s="144">
        <v>0.2</v>
      </c>
      <c r="E21" s="144">
        <v>0.2</v>
      </c>
      <c r="F21" s="144">
        <v>0.2</v>
      </c>
      <c r="G21" s="144">
        <v>0.2</v>
      </c>
      <c r="H21" s="144">
        <v>0.2</v>
      </c>
      <c r="I21" s="144">
        <v>1</v>
      </c>
      <c r="J21" s="144">
        <v>1</v>
      </c>
      <c r="K21" s="144">
        <v>0.2</v>
      </c>
      <c r="L21" s="144">
        <v>0.2</v>
      </c>
      <c r="M21" s="144">
        <v>0.2</v>
      </c>
      <c r="N21" s="144">
        <v>0.2</v>
      </c>
      <c r="O21" s="144">
        <v>0.2</v>
      </c>
      <c r="P21" s="144">
        <v>1</v>
      </c>
      <c r="Q21" s="144">
        <v>1</v>
      </c>
      <c r="R21" s="144">
        <v>0.2</v>
      </c>
      <c r="S21" s="144">
        <v>0.2</v>
      </c>
      <c r="T21" s="144">
        <v>0.2</v>
      </c>
      <c r="U21" s="144">
        <v>0.2</v>
      </c>
      <c r="V21" s="144">
        <v>0.2</v>
      </c>
      <c r="W21" s="144">
        <v>0</v>
      </c>
      <c r="X21" s="144">
        <v>1</v>
      </c>
      <c r="Y21" s="144">
        <v>0.25</v>
      </c>
      <c r="Z21" s="144">
        <v>0</v>
      </c>
      <c r="AA21" s="144">
        <v>0.25</v>
      </c>
      <c r="AB21" s="144">
        <v>0.25</v>
      </c>
      <c r="AC21" s="144">
        <v>0.25</v>
      </c>
      <c r="AD21" s="144">
        <v>0.5</v>
      </c>
      <c r="AE21" s="144">
        <v>0.5</v>
      </c>
    </row>
    <row r="22" spans="1:31" ht="15.75" x14ac:dyDescent="0.25">
      <c r="A22" s="15" t="s">
        <v>20</v>
      </c>
      <c r="B22" s="143">
        <v>1</v>
      </c>
      <c r="C22" s="143">
        <v>1</v>
      </c>
      <c r="D22" s="143">
        <v>0.2</v>
      </c>
      <c r="E22" s="143">
        <v>0.2</v>
      </c>
      <c r="F22" s="143">
        <v>0.2</v>
      </c>
      <c r="G22" s="143">
        <v>0.2</v>
      </c>
      <c r="H22" s="143">
        <v>0.2</v>
      </c>
      <c r="I22" s="143">
        <v>1</v>
      </c>
      <c r="J22" s="143">
        <v>1</v>
      </c>
      <c r="K22" s="143">
        <v>0.2</v>
      </c>
      <c r="L22" s="143">
        <v>0.2</v>
      </c>
      <c r="M22" s="143">
        <v>0.2</v>
      </c>
      <c r="N22" s="143">
        <v>0.2</v>
      </c>
      <c r="O22" s="143">
        <v>0.2</v>
      </c>
      <c r="P22" s="143">
        <v>1</v>
      </c>
      <c r="Q22" s="143">
        <v>1</v>
      </c>
      <c r="R22" s="143">
        <v>0.2</v>
      </c>
      <c r="S22" s="143">
        <v>0.2</v>
      </c>
      <c r="T22" s="143">
        <v>0.2</v>
      </c>
      <c r="U22" s="143">
        <v>0.2</v>
      </c>
      <c r="V22" s="143">
        <v>0.2</v>
      </c>
      <c r="W22" s="143">
        <v>0</v>
      </c>
      <c r="X22" s="143">
        <v>1</v>
      </c>
      <c r="Y22" s="143">
        <v>0.25</v>
      </c>
      <c r="Z22" s="143">
        <v>0</v>
      </c>
      <c r="AA22" s="143">
        <v>0.25</v>
      </c>
      <c r="AB22" s="143">
        <v>0.25</v>
      </c>
      <c r="AC22" s="143">
        <v>0.25</v>
      </c>
      <c r="AD22" s="143">
        <v>0.5</v>
      </c>
      <c r="AE22" s="143">
        <v>0.5</v>
      </c>
    </row>
    <row r="23" spans="1:31" ht="15.75" x14ac:dyDescent="0.25">
      <c r="A23" s="15" t="s">
        <v>21</v>
      </c>
      <c r="B23" s="144">
        <v>1</v>
      </c>
      <c r="C23" s="144">
        <v>1</v>
      </c>
      <c r="D23" s="144">
        <v>0.2</v>
      </c>
      <c r="E23" s="144">
        <v>0.2</v>
      </c>
      <c r="F23" s="144">
        <v>0.2</v>
      </c>
      <c r="G23" s="144">
        <v>0.2</v>
      </c>
      <c r="H23" s="144">
        <v>0.2</v>
      </c>
      <c r="I23" s="144">
        <v>1</v>
      </c>
      <c r="J23" s="144">
        <v>1</v>
      </c>
      <c r="K23" s="144">
        <v>0.2</v>
      </c>
      <c r="L23" s="144">
        <v>0.2</v>
      </c>
      <c r="M23" s="144">
        <v>0.2</v>
      </c>
      <c r="N23" s="144">
        <v>0.2</v>
      </c>
      <c r="O23" s="144">
        <v>0.2</v>
      </c>
      <c r="P23" s="144">
        <v>1</v>
      </c>
      <c r="Q23" s="144">
        <v>1</v>
      </c>
      <c r="R23" s="144">
        <v>0.2</v>
      </c>
      <c r="S23" s="144">
        <v>0.2</v>
      </c>
      <c r="T23" s="144">
        <v>0.2</v>
      </c>
      <c r="U23" s="144">
        <v>0.2</v>
      </c>
      <c r="V23" s="144">
        <v>0.2</v>
      </c>
      <c r="W23" s="144">
        <v>0</v>
      </c>
      <c r="X23" s="144">
        <v>1</v>
      </c>
      <c r="Y23" s="144">
        <v>0.25</v>
      </c>
      <c r="Z23" s="144">
        <v>0</v>
      </c>
      <c r="AA23" s="144">
        <v>0.25</v>
      </c>
      <c r="AB23" s="144">
        <v>0.25</v>
      </c>
      <c r="AC23" s="144">
        <v>0.25</v>
      </c>
      <c r="AD23" s="144">
        <v>0.5</v>
      </c>
      <c r="AE23" s="144">
        <v>0.5</v>
      </c>
    </row>
    <row r="24" spans="1:31" ht="15.75" x14ac:dyDescent="0.25">
      <c r="A24" s="15" t="s">
        <v>22</v>
      </c>
      <c r="B24" s="143">
        <v>1</v>
      </c>
      <c r="C24" s="143">
        <v>1</v>
      </c>
      <c r="D24" s="143">
        <v>0.2</v>
      </c>
      <c r="E24" s="143">
        <v>0.2</v>
      </c>
      <c r="F24" s="143">
        <v>0.2</v>
      </c>
      <c r="G24" s="143">
        <v>0.2</v>
      </c>
      <c r="H24" s="143">
        <v>0.2</v>
      </c>
      <c r="I24" s="143">
        <v>1</v>
      </c>
      <c r="J24" s="143">
        <v>1</v>
      </c>
      <c r="K24" s="143">
        <v>0.2</v>
      </c>
      <c r="L24" s="143">
        <v>0.2</v>
      </c>
      <c r="M24" s="143">
        <v>0.2</v>
      </c>
      <c r="N24" s="143">
        <v>0.2</v>
      </c>
      <c r="O24" s="143">
        <v>0.2</v>
      </c>
      <c r="P24" s="143">
        <v>1</v>
      </c>
      <c r="Q24" s="143">
        <v>1</v>
      </c>
      <c r="R24" s="143">
        <v>0.2</v>
      </c>
      <c r="S24" s="143">
        <v>0.2</v>
      </c>
      <c r="T24" s="143">
        <v>0.2</v>
      </c>
      <c r="U24" s="143">
        <v>0.2</v>
      </c>
      <c r="V24" s="143">
        <v>0.2</v>
      </c>
      <c r="W24" s="143">
        <v>0</v>
      </c>
      <c r="X24" s="143">
        <v>1</v>
      </c>
      <c r="Y24" s="143">
        <v>0.25</v>
      </c>
      <c r="Z24" s="143">
        <v>0</v>
      </c>
      <c r="AA24" s="143">
        <v>0.25</v>
      </c>
      <c r="AB24" s="143">
        <v>0.25</v>
      </c>
      <c r="AC24" s="143">
        <v>0.25</v>
      </c>
      <c r="AD24" s="143">
        <v>0.5</v>
      </c>
      <c r="AE24" s="143">
        <v>0.5</v>
      </c>
    </row>
    <row r="25" spans="1:31" ht="15.75" x14ac:dyDescent="0.25">
      <c r="A25" s="15" t="s">
        <v>23</v>
      </c>
      <c r="B25" s="144">
        <v>1</v>
      </c>
      <c r="C25" s="144">
        <v>1</v>
      </c>
      <c r="D25" s="144">
        <v>0.2</v>
      </c>
      <c r="E25" s="144">
        <v>0.2</v>
      </c>
      <c r="F25" s="144">
        <v>0.2</v>
      </c>
      <c r="G25" s="144">
        <v>0.2</v>
      </c>
      <c r="H25" s="144">
        <v>0.2</v>
      </c>
      <c r="I25" s="144">
        <v>1</v>
      </c>
      <c r="J25" s="144">
        <v>1</v>
      </c>
      <c r="K25" s="144">
        <v>0.2</v>
      </c>
      <c r="L25" s="144">
        <v>0.2</v>
      </c>
      <c r="M25" s="144">
        <v>0.2</v>
      </c>
      <c r="N25" s="144">
        <v>0.2</v>
      </c>
      <c r="O25" s="144">
        <v>0.2</v>
      </c>
      <c r="P25" s="144">
        <v>1</v>
      </c>
      <c r="Q25" s="144">
        <v>1</v>
      </c>
      <c r="R25" s="144">
        <v>0.2</v>
      </c>
      <c r="S25" s="144">
        <v>0.2</v>
      </c>
      <c r="T25" s="144">
        <v>0.2</v>
      </c>
      <c r="U25" s="144">
        <v>0.2</v>
      </c>
      <c r="V25" s="144">
        <v>0.2</v>
      </c>
      <c r="W25" s="144">
        <v>0</v>
      </c>
      <c r="X25" s="144">
        <v>1</v>
      </c>
      <c r="Y25" s="144">
        <v>0.25</v>
      </c>
      <c r="Z25" s="144">
        <v>0</v>
      </c>
      <c r="AA25" s="144">
        <v>0.25</v>
      </c>
      <c r="AB25" s="144">
        <v>0.25</v>
      </c>
      <c r="AC25" s="144">
        <v>0.25</v>
      </c>
      <c r="AD25" s="144">
        <v>0.5</v>
      </c>
      <c r="AE25" s="144">
        <v>0.5</v>
      </c>
    </row>
    <row r="26" spans="1:31" ht="15.75" x14ac:dyDescent="0.25">
      <c r="A26" s="15" t="s">
        <v>24</v>
      </c>
      <c r="B26" s="143">
        <v>1</v>
      </c>
      <c r="C26" s="143">
        <v>1</v>
      </c>
      <c r="D26" s="143">
        <v>0.2</v>
      </c>
      <c r="E26" s="143">
        <v>0.2</v>
      </c>
      <c r="F26" s="143">
        <v>0.2</v>
      </c>
      <c r="G26" s="143">
        <v>0.2</v>
      </c>
      <c r="H26" s="143">
        <v>0.2</v>
      </c>
      <c r="I26" s="143">
        <v>1</v>
      </c>
      <c r="J26" s="143">
        <v>1</v>
      </c>
      <c r="K26" s="143">
        <v>0.2</v>
      </c>
      <c r="L26" s="143">
        <v>0.2</v>
      </c>
      <c r="M26" s="143">
        <v>0.2</v>
      </c>
      <c r="N26" s="143">
        <v>0.2</v>
      </c>
      <c r="O26" s="143">
        <v>0.2</v>
      </c>
      <c r="P26" s="143">
        <v>1</v>
      </c>
      <c r="Q26" s="143">
        <v>1</v>
      </c>
      <c r="R26" s="143">
        <v>0.2</v>
      </c>
      <c r="S26" s="143">
        <v>0.2</v>
      </c>
      <c r="T26" s="143">
        <v>0.2</v>
      </c>
      <c r="U26" s="143">
        <v>0.2</v>
      </c>
      <c r="V26" s="143">
        <v>0.2</v>
      </c>
      <c r="W26" s="143">
        <v>0</v>
      </c>
      <c r="X26" s="143">
        <v>1</v>
      </c>
      <c r="Y26" s="143">
        <v>0.25</v>
      </c>
      <c r="Z26" s="143">
        <v>0</v>
      </c>
      <c r="AA26" s="143">
        <v>0.25</v>
      </c>
      <c r="AB26" s="143">
        <v>0.25</v>
      </c>
      <c r="AC26" s="143">
        <v>0.25</v>
      </c>
      <c r="AD26" s="143">
        <v>0.5</v>
      </c>
      <c r="AE26" s="143">
        <v>0.5</v>
      </c>
    </row>
    <row r="27" spans="1:31" ht="15.75" x14ac:dyDescent="0.25">
      <c r="A27" s="15" t="s">
        <v>25</v>
      </c>
      <c r="B27" s="144">
        <v>1</v>
      </c>
      <c r="C27" s="144">
        <v>1</v>
      </c>
      <c r="D27" s="144">
        <v>0.2</v>
      </c>
      <c r="E27" s="144">
        <v>0.2</v>
      </c>
      <c r="F27" s="144">
        <v>0.2</v>
      </c>
      <c r="G27" s="144">
        <v>0.2</v>
      </c>
      <c r="H27" s="144">
        <v>0.2</v>
      </c>
      <c r="I27" s="144">
        <v>1</v>
      </c>
      <c r="J27" s="144">
        <v>1</v>
      </c>
      <c r="K27" s="144">
        <v>0.2</v>
      </c>
      <c r="L27" s="144">
        <v>0.2</v>
      </c>
      <c r="M27" s="144">
        <v>0.2</v>
      </c>
      <c r="N27" s="144">
        <v>0.2</v>
      </c>
      <c r="O27" s="144">
        <v>0.2</v>
      </c>
      <c r="P27" s="144">
        <v>1</v>
      </c>
      <c r="Q27" s="144">
        <v>1</v>
      </c>
      <c r="R27" s="144">
        <v>0.2</v>
      </c>
      <c r="S27" s="144">
        <v>0.2</v>
      </c>
      <c r="T27" s="144">
        <v>0.2</v>
      </c>
      <c r="U27" s="144">
        <v>0.2</v>
      </c>
      <c r="V27" s="144">
        <v>0.2</v>
      </c>
      <c r="W27" s="144">
        <v>0</v>
      </c>
      <c r="X27" s="144">
        <v>1</v>
      </c>
      <c r="Y27" s="144">
        <v>0.25</v>
      </c>
      <c r="Z27" s="144">
        <v>0</v>
      </c>
      <c r="AA27" s="144">
        <v>0.25</v>
      </c>
      <c r="AB27" s="144">
        <v>0.25</v>
      </c>
      <c r="AC27" s="144">
        <v>0.25</v>
      </c>
      <c r="AD27" s="144">
        <v>0.5</v>
      </c>
      <c r="AE27" s="144">
        <v>0.5</v>
      </c>
    </row>
    <row r="28" spans="1:31" ht="15.75" x14ac:dyDescent="0.25">
      <c r="A28" s="15" t="s">
        <v>41</v>
      </c>
      <c r="B28" s="143">
        <v>1</v>
      </c>
      <c r="C28" s="143">
        <v>1</v>
      </c>
      <c r="D28" s="143">
        <v>0.2</v>
      </c>
      <c r="E28" s="143">
        <v>0.2</v>
      </c>
      <c r="F28" s="143">
        <v>0.2</v>
      </c>
      <c r="G28" s="143">
        <v>0.2</v>
      </c>
      <c r="H28" s="143">
        <v>0.2</v>
      </c>
      <c r="I28" s="143">
        <v>1</v>
      </c>
      <c r="J28" s="143">
        <v>1</v>
      </c>
      <c r="K28" s="143">
        <v>0.2</v>
      </c>
      <c r="L28" s="143">
        <v>0.2</v>
      </c>
      <c r="M28" s="143">
        <v>0.2</v>
      </c>
      <c r="N28" s="143">
        <v>0.2</v>
      </c>
      <c r="O28" s="143">
        <v>0.2</v>
      </c>
      <c r="P28" s="143">
        <v>1</v>
      </c>
      <c r="Q28" s="143">
        <v>1</v>
      </c>
      <c r="R28" s="143">
        <v>0.2</v>
      </c>
      <c r="S28" s="143">
        <v>0.2</v>
      </c>
      <c r="T28" s="143">
        <v>0.2</v>
      </c>
      <c r="U28" s="143">
        <v>0.2</v>
      </c>
      <c r="V28" s="143">
        <v>0.2</v>
      </c>
      <c r="W28" s="143">
        <v>0</v>
      </c>
      <c r="X28" s="143">
        <v>1</v>
      </c>
      <c r="Y28" s="143">
        <v>0.25</v>
      </c>
      <c r="Z28" s="143">
        <v>0</v>
      </c>
      <c r="AA28" s="143">
        <v>0.25</v>
      </c>
      <c r="AB28" s="143">
        <v>0.25</v>
      </c>
      <c r="AC28" s="143">
        <v>0.25</v>
      </c>
      <c r="AD28" s="143">
        <v>0.5</v>
      </c>
      <c r="AE28" s="143">
        <v>0.5</v>
      </c>
    </row>
    <row r="29" spans="1:31" ht="15.75" x14ac:dyDescent="0.25">
      <c r="A29" s="15" t="s">
        <v>27</v>
      </c>
      <c r="B29" s="144">
        <v>1</v>
      </c>
      <c r="C29" s="144">
        <v>1</v>
      </c>
      <c r="D29" s="144">
        <v>0.2</v>
      </c>
      <c r="E29" s="144">
        <v>0.2</v>
      </c>
      <c r="F29" s="144">
        <v>0.2</v>
      </c>
      <c r="G29" s="144">
        <v>0.2</v>
      </c>
      <c r="H29" s="144">
        <v>0.2</v>
      </c>
      <c r="I29" s="144">
        <v>1</v>
      </c>
      <c r="J29" s="144">
        <v>1</v>
      </c>
      <c r="K29" s="144">
        <v>0.2</v>
      </c>
      <c r="L29" s="144">
        <v>0.2</v>
      </c>
      <c r="M29" s="144">
        <v>0.2</v>
      </c>
      <c r="N29" s="144">
        <v>0.2</v>
      </c>
      <c r="O29" s="144">
        <v>0.2</v>
      </c>
      <c r="P29" s="144">
        <v>1</v>
      </c>
      <c r="Q29" s="144">
        <v>1</v>
      </c>
      <c r="R29" s="144">
        <v>0.2</v>
      </c>
      <c r="S29" s="144">
        <v>0.2</v>
      </c>
      <c r="T29" s="144">
        <v>0.2</v>
      </c>
      <c r="U29" s="144">
        <v>0.2</v>
      </c>
      <c r="V29" s="144">
        <v>0.2</v>
      </c>
      <c r="W29" s="144">
        <v>0</v>
      </c>
      <c r="X29" s="144">
        <v>1</v>
      </c>
      <c r="Y29" s="144">
        <v>0.25</v>
      </c>
      <c r="Z29" s="144">
        <v>0</v>
      </c>
      <c r="AA29" s="144">
        <v>0.25</v>
      </c>
      <c r="AB29" s="144">
        <v>0.25</v>
      </c>
      <c r="AC29" s="144">
        <v>0.25</v>
      </c>
      <c r="AD29" s="144">
        <v>0.5</v>
      </c>
      <c r="AE29" s="144">
        <v>0.5</v>
      </c>
    </row>
    <row r="30" spans="1:31" ht="15.75" x14ac:dyDescent="0.25">
      <c r="A30" s="179" t="s">
        <v>28</v>
      </c>
      <c r="B30" s="35">
        <f>AVERAGE(B4:B29)</f>
        <v>1</v>
      </c>
      <c r="C30" s="35">
        <f t="shared" ref="C30:AE30" si="0">AVERAGE(C4:C29)</f>
        <v>1</v>
      </c>
      <c r="D30" s="35">
        <f t="shared" si="0"/>
        <v>0.20000000000000007</v>
      </c>
      <c r="E30" s="35">
        <f t="shared" si="0"/>
        <v>0.20000000000000007</v>
      </c>
      <c r="F30" s="35">
        <f t="shared" si="0"/>
        <v>0.20000000000000007</v>
      </c>
      <c r="G30" s="35">
        <f t="shared" si="0"/>
        <v>0.20000000000000007</v>
      </c>
      <c r="H30" s="35">
        <f t="shared" si="0"/>
        <v>0.20000000000000007</v>
      </c>
      <c r="I30" s="35">
        <f t="shared" si="0"/>
        <v>1</v>
      </c>
      <c r="J30" s="35">
        <f t="shared" si="0"/>
        <v>1</v>
      </c>
      <c r="K30" s="35">
        <f t="shared" si="0"/>
        <v>0.20000000000000007</v>
      </c>
      <c r="L30" s="35">
        <f t="shared" si="0"/>
        <v>0.20000000000000007</v>
      </c>
      <c r="M30" s="35">
        <f t="shared" si="0"/>
        <v>0.20000000000000007</v>
      </c>
      <c r="N30" s="35">
        <f t="shared" si="0"/>
        <v>0.20000000000000007</v>
      </c>
      <c r="O30" s="35">
        <f t="shared" si="0"/>
        <v>0.20000000000000007</v>
      </c>
      <c r="P30" s="35">
        <f t="shared" si="0"/>
        <v>1</v>
      </c>
      <c r="Q30" s="35">
        <f t="shared" si="0"/>
        <v>1</v>
      </c>
      <c r="R30" s="35">
        <f t="shared" si="0"/>
        <v>0.20000000000000007</v>
      </c>
      <c r="S30" s="35">
        <f t="shared" si="0"/>
        <v>0.20000000000000007</v>
      </c>
      <c r="T30" s="35">
        <f t="shared" si="0"/>
        <v>0.20000000000000007</v>
      </c>
      <c r="U30" s="35">
        <f t="shared" si="0"/>
        <v>0.20000000000000007</v>
      </c>
      <c r="V30" s="35">
        <f t="shared" si="0"/>
        <v>0.20000000000000007</v>
      </c>
      <c r="W30" s="35">
        <f t="shared" si="0"/>
        <v>0</v>
      </c>
      <c r="X30" s="35">
        <f t="shared" si="0"/>
        <v>1</v>
      </c>
      <c r="Y30" s="35">
        <f t="shared" si="0"/>
        <v>0.25</v>
      </c>
      <c r="Z30" s="35">
        <f t="shared" si="0"/>
        <v>0</v>
      </c>
      <c r="AA30" s="35">
        <f t="shared" si="0"/>
        <v>0.25</v>
      </c>
      <c r="AB30" s="35">
        <f t="shared" si="0"/>
        <v>0.25</v>
      </c>
      <c r="AC30" s="35">
        <f t="shared" si="0"/>
        <v>0.25</v>
      </c>
      <c r="AD30" s="35">
        <f t="shared" si="0"/>
        <v>0.5</v>
      </c>
      <c r="AE30" s="35">
        <f t="shared" si="0"/>
        <v>0.5</v>
      </c>
    </row>
    <row r="33" spans="1:17" x14ac:dyDescent="0.25">
      <c r="A33" s="199" t="s">
        <v>334</v>
      </c>
      <c r="B33" s="255" t="s">
        <v>335</v>
      </c>
      <c r="C33" s="255"/>
      <c r="D33" s="255"/>
      <c r="E33" s="255"/>
      <c r="F33" s="255"/>
      <c r="G33" s="255"/>
      <c r="H33" s="255"/>
      <c r="I33" s="255"/>
      <c r="J33" s="255"/>
      <c r="K33" s="255"/>
      <c r="L33" s="255"/>
      <c r="M33" s="255"/>
      <c r="N33" s="255"/>
      <c r="O33" s="255"/>
      <c r="P33" s="255"/>
      <c r="Q33" s="255"/>
    </row>
    <row r="34" spans="1:17" x14ac:dyDescent="0.25">
      <c r="B34" s="255" t="s">
        <v>336</v>
      </c>
      <c r="C34" s="255"/>
      <c r="D34" s="255"/>
      <c r="E34" s="255"/>
      <c r="F34" s="255"/>
      <c r="G34" s="255"/>
      <c r="H34" s="255"/>
      <c r="I34" s="255"/>
      <c r="J34" s="255"/>
      <c r="K34" s="255"/>
      <c r="L34" s="255"/>
    </row>
  </sheetData>
  <mergeCells count="12">
    <mergeCell ref="B33:Q33"/>
    <mergeCell ref="B34:L34"/>
    <mergeCell ref="A1:A3"/>
    <mergeCell ref="W1:AC1"/>
    <mergeCell ref="Y2:AC2"/>
    <mergeCell ref="AD1:AE2"/>
    <mergeCell ref="B1:H1"/>
    <mergeCell ref="D2:H2"/>
    <mergeCell ref="I1:O1"/>
    <mergeCell ref="K2:O2"/>
    <mergeCell ref="P1:V1"/>
    <mergeCell ref="R2:V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35"/>
  <sheetViews>
    <sheetView showGridLines="0" zoomScale="60" zoomScaleNormal="60" workbookViewId="0">
      <selection sqref="A1:A4"/>
    </sheetView>
  </sheetViews>
  <sheetFormatPr defaultColWidth="29.5703125" defaultRowHeight="18.75" x14ac:dyDescent="0.3"/>
  <cols>
    <col min="1" max="16384" width="29.5703125" style="88"/>
  </cols>
  <sheetData>
    <row r="1" spans="1:28" s="126" customFormat="1" ht="24.95" customHeight="1" x14ac:dyDescent="0.3">
      <c r="A1" s="261" t="s">
        <v>29</v>
      </c>
      <c r="B1" s="247" t="s">
        <v>275</v>
      </c>
      <c r="C1" s="248"/>
      <c r="D1" s="249"/>
      <c r="E1" s="265" t="s">
        <v>338</v>
      </c>
      <c r="F1" s="265"/>
      <c r="G1" s="265"/>
      <c r="H1" s="265"/>
      <c r="I1" s="265"/>
      <c r="J1" s="265"/>
      <c r="K1" s="265"/>
      <c r="L1" s="265"/>
      <c r="M1" s="265"/>
      <c r="N1" s="265"/>
      <c r="O1" s="265"/>
      <c r="P1" s="265"/>
      <c r="Q1" s="265"/>
      <c r="R1" s="265"/>
      <c r="S1" s="265"/>
      <c r="T1" s="265"/>
      <c r="U1" s="265"/>
      <c r="V1" s="265" t="s">
        <v>196</v>
      </c>
      <c r="W1" s="265"/>
      <c r="X1" s="265"/>
      <c r="Y1" s="265"/>
      <c r="Z1" s="265"/>
      <c r="AA1" s="265"/>
      <c r="AB1" s="265"/>
    </row>
    <row r="2" spans="1:28" ht="24.95" customHeight="1" x14ac:dyDescent="0.3">
      <c r="A2" s="262"/>
      <c r="B2" s="259"/>
      <c r="C2" s="245"/>
      <c r="D2" s="260"/>
      <c r="E2" s="242" t="s">
        <v>172</v>
      </c>
      <c r="F2" s="242"/>
      <c r="G2" s="242"/>
      <c r="H2" s="242" t="s">
        <v>176</v>
      </c>
      <c r="I2" s="242"/>
      <c r="J2" s="242"/>
      <c r="K2" s="242" t="s">
        <v>180</v>
      </c>
      <c r="L2" s="242"/>
      <c r="M2" s="242"/>
      <c r="N2" s="242" t="s">
        <v>184</v>
      </c>
      <c r="O2" s="242"/>
      <c r="P2" s="242"/>
      <c r="Q2" s="242" t="s">
        <v>188</v>
      </c>
      <c r="R2" s="242"/>
      <c r="S2" s="242"/>
      <c r="T2" s="242" t="s">
        <v>192</v>
      </c>
      <c r="U2" s="242"/>
      <c r="V2" s="242" t="s">
        <v>161</v>
      </c>
      <c r="W2" s="242"/>
      <c r="X2" s="242"/>
      <c r="Y2" s="242" t="s">
        <v>165</v>
      </c>
      <c r="Z2" s="242"/>
      <c r="AA2" s="242" t="s">
        <v>169</v>
      </c>
      <c r="AB2" s="242"/>
    </row>
    <row r="3" spans="1:28" ht="24.95" customHeight="1" x14ac:dyDescent="0.3">
      <c r="A3" s="262"/>
      <c r="B3" s="250"/>
      <c r="C3" s="246"/>
      <c r="D3" s="251"/>
      <c r="E3" s="242"/>
      <c r="F3" s="242"/>
      <c r="G3" s="242"/>
      <c r="H3" s="242"/>
      <c r="I3" s="242"/>
      <c r="J3" s="242"/>
      <c r="K3" s="242"/>
      <c r="L3" s="242"/>
      <c r="M3" s="242"/>
      <c r="N3" s="242"/>
      <c r="O3" s="242"/>
      <c r="P3" s="242"/>
      <c r="Q3" s="242"/>
      <c r="R3" s="242"/>
      <c r="S3" s="242"/>
      <c r="T3" s="242"/>
      <c r="U3" s="242"/>
      <c r="V3" s="242"/>
      <c r="W3" s="242"/>
      <c r="X3" s="242"/>
      <c r="Y3" s="242"/>
      <c r="Z3" s="242"/>
      <c r="AA3" s="242"/>
      <c r="AB3" s="242"/>
    </row>
    <row r="4" spans="1:28" s="122" customFormat="1" ht="56.25" x14ac:dyDescent="0.3">
      <c r="A4" s="263"/>
      <c r="B4" s="117" t="s">
        <v>112</v>
      </c>
      <c r="C4" s="117" t="s">
        <v>113</v>
      </c>
      <c r="D4" s="117" t="s">
        <v>114</v>
      </c>
      <c r="E4" s="117" t="s">
        <v>112</v>
      </c>
      <c r="F4" s="117" t="s">
        <v>113</v>
      </c>
      <c r="G4" s="117" t="s">
        <v>117</v>
      </c>
      <c r="H4" s="117" t="s">
        <v>112</v>
      </c>
      <c r="I4" s="117" t="s">
        <v>113</v>
      </c>
      <c r="J4" s="117" t="s">
        <v>117</v>
      </c>
      <c r="K4" s="117" t="s">
        <v>112</v>
      </c>
      <c r="L4" s="117" t="s">
        <v>113</v>
      </c>
      <c r="M4" s="117" t="s">
        <v>117</v>
      </c>
      <c r="N4" s="117" t="s">
        <v>120</v>
      </c>
      <c r="O4" s="117" t="s">
        <v>121</v>
      </c>
      <c r="P4" s="117" t="s">
        <v>122</v>
      </c>
      <c r="Q4" s="117" t="s">
        <v>112</v>
      </c>
      <c r="R4" s="117" t="s">
        <v>113</v>
      </c>
      <c r="S4" s="117" t="s">
        <v>117</v>
      </c>
      <c r="T4" s="117" t="s">
        <v>113</v>
      </c>
      <c r="U4" s="117" t="s">
        <v>117</v>
      </c>
      <c r="V4" s="117" t="s">
        <v>112</v>
      </c>
      <c r="W4" s="117" t="s">
        <v>113</v>
      </c>
      <c r="X4" s="117" t="s">
        <v>117</v>
      </c>
      <c r="Y4" s="117" t="s">
        <v>131</v>
      </c>
      <c r="Z4" s="117" t="s">
        <v>130</v>
      </c>
      <c r="AA4" s="117" t="s">
        <v>156</v>
      </c>
      <c r="AB4" s="117" t="s">
        <v>157</v>
      </c>
    </row>
    <row r="5" spans="1:28" x14ac:dyDescent="0.3">
      <c r="A5" s="103" t="s">
        <v>2</v>
      </c>
      <c r="B5" s="123">
        <v>0.11411054924201584</v>
      </c>
      <c r="C5" s="123">
        <v>0.23070704936061931</v>
      </c>
      <c r="D5" s="123">
        <v>0.65518240139736472</v>
      </c>
      <c r="E5" s="123">
        <v>0.11411054924201584</v>
      </c>
      <c r="F5" s="123">
        <v>0.23070704936061931</v>
      </c>
      <c r="G5" s="123">
        <v>0.65518240139736472</v>
      </c>
      <c r="H5" s="123">
        <v>0.11411054924201584</v>
      </c>
      <c r="I5" s="123">
        <v>0.23070704936061931</v>
      </c>
      <c r="J5" s="123">
        <v>0.65518240139736472</v>
      </c>
      <c r="K5" s="123">
        <v>0.11411054924201584</v>
      </c>
      <c r="L5" s="123">
        <v>0.23070704936061931</v>
      </c>
      <c r="M5" s="123">
        <v>0.65518240139736472</v>
      </c>
      <c r="N5" s="123">
        <v>0.11411054924201584</v>
      </c>
      <c r="O5" s="123">
        <v>0.23070704936061931</v>
      </c>
      <c r="P5" s="123">
        <v>0.65518240139736472</v>
      </c>
      <c r="Q5" s="123">
        <v>0.11411054924201584</v>
      </c>
      <c r="R5" s="123">
        <v>0.23070704936061931</v>
      </c>
      <c r="S5" s="123">
        <v>0.65518240139736472</v>
      </c>
      <c r="T5" s="123">
        <v>0.26042419758269147</v>
      </c>
      <c r="U5" s="123">
        <v>0.73957580241730847</v>
      </c>
      <c r="V5" s="123">
        <v>0.11411054924201584</v>
      </c>
      <c r="W5" s="123">
        <v>0.23070704936061931</v>
      </c>
      <c r="X5" s="123">
        <v>0.65518240139736472</v>
      </c>
      <c r="Y5" s="123">
        <v>0.26042419758269147</v>
      </c>
      <c r="Z5" s="123">
        <v>0.73957580241730847</v>
      </c>
      <c r="AA5" s="123">
        <v>0.26042419758269147</v>
      </c>
      <c r="AB5" s="123">
        <v>0.73957580241730847</v>
      </c>
    </row>
    <row r="6" spans="1:28" x14ac:dyDescent="0.3">
      <c r="A6" s="103" t="s">
        <v>3</v>
      </c>
      <c r="B6" s="124">
        <v>4.8325303116934781E-2</v>
      </c>
      <c r="C6" s="124">
        <v>0.18804339743349743</v>
      </c>
      <c r="D6" s="124">
        <v>0.76363129944956787</v>
      </c>
      <c r="E6" s="124">
        <v>4.8325303116934781E-2</v>
      </c>
      <c r="F6" s="124">
        <v>0.18804339743349743</v>
      </c>
      <c r="G6" s="124">
        <v>0.76363129944956787</v>
      </c>
      <c r="H6" s="124">
        <v>4.8325303116934781E-2</v>
      </c>
      <c r="I6" s="124">
        <v>0.18804339743349743</v>
      </c>
      <c r="J6" s="124">
        <v>0.76363129944956787</v>
      </c>
      <c r="K6" s="124">
        <v>4.8325303116934781E-2</v>
      </c>
      <c r="L6" s="124">
        <v>0.18804339743349743</v>
      </c>
      <c r="M6" s="124">
        <v>0.76363129944956787</v>
      </c>
      <c r="N6" s="124">
        <v>4.8325303116934781E-2</v>
      </c>
      <c r="O6" s="124">
        <v>0.18804339743349743</v>
      </c>
      <c r="P6" s="124">
        <v>0.76363129944956787</v>
      </c>
      <c r="Q6" s="124">
        <v>4.8325303116934781E-2</v>
      </c>
      <c r="R6" s="124">
        <v>0.18804339743349743</v>
      </c>
      <c r="S6" s="124">
        <v>0.76363129944956787</v>
      </c>
      <c r="T6" s="124">
        <v>0.19759209533402444</v>
      </c>
      <c r="U6" s="124">
        <v>0.80240790466597556</v>
      </c>
      <c r="V6" s="124">
        <v>4.8325303116934781E-2</v>
      </c>
      <c r="W6" s="124">
        <v>0.18804339743349743</v>
      </c>
      <c r="X6" s="124">
        <v>0.76363129944956787</v>
      </c>
      <c r="Y6" s="124">
        <v>0.19759209533402444</v>
      </c>
      <c r="Z6" s="124">
        <v>0.80240790466597556</v>
      </c>
      <c r="AA6" s="124">
        <v>0.19759209533402444</v>
      </c>
      <c r="AB6" s="124">
        <v>0.80240790466597556</v>
      </c>
    </row>
    <row r="7" spans="1:28" x14ac:dyDescent="0.3">
      <c r="A7" s="103" t="s">
        <v>4</v>
      </c>
      <c r="B7" s="123">
        <f>B31</f>
        <v>9.1661454698101996E-2</v>
      </c>
      <c r="C7" s="123">
        <f>C31</f>
        <v>0.20149673922021485</v>
      </c>
      <c r="D7" s="123">
        <f>D31</f>
        <v>0.70684180608168312</v>
      </c>
      <c r="E7" s="123">
        <f t="shared" ref="E7:U7" si="0">E31</f>
        <v>9.1661454698101996E-2</v>
      </c>
      <c r="F7" s="123">
        <f t="shared" si="0"/>
        <v>0.20149673922021485</v>
      </c>
      <c r="G7" s="123">
        <f t="shared" si="0"/>
        <v>0.70684180608168312</v>
      </c>
      <c r="H7" s="123">
        <f t="shared" si="0"/>
        <v>9.1661454698101996E-2</v>
      </c>
      <c r="I7" s="123">
        <f t="shared" si="0"/>
        <v>0.20149673922021485</v>
      </c>
      <c r="J7" s="123">
        <f t="shared" si="0"/>
        <v>0.70684180608168312</v>
      </c>
      <c r="K7" s="123">
        <f t="shared" si="0"/>
        <v>9.1661454698101996E-2</v>
      </c>
      <c r="L7" s="123">
        <f t="shared" si="0"/>
        <v>0.20149673922021485</v>
      </c>
      <c r="M7" s="123">
        <f t="shared" si="0"/>
        <v>0.70684180608168312</v>
      </c>
      <c r="N7" s="123">
        <f t="shared" si="0"/>
        <v>9.1661454698101996E-2</v>
      </c>
      <c r="O7" s="123">
        <f t="shared" si="0"/>
        <v>0.20149673922021485</v>
      </c>
      <c r="P7" s="123">
        <f t="shared" si="0"/>
        <v>0.70684180608168312</v>
      </c>
      <c r="Q7" s="123">
        <f t="shared" si="0"/>
        <v>9.1661454698101996E-2</v>
      </c>
      <c r="R7" s="123">
        <f t="shared" si="0"/>
        <v>0.20149673922021485</v>
      </c>
      <c r="S7" s="123">
        <f t="shared" si="0"/>
        <v>0.70684180608168312</v>
      </c>
      <c r="T7" s="123">
        <f t="shared" si="0"/>
        <v>0.23465970507523606</v>
      </c>
      <c r="U7" s="123">
        <f t="shared" si="0"/>
        <v>0.76534029492476396</v>
      </c>
      <c r="V7" s="123">
        <f t="shared" ref="V7:AB7" si="1">V31</f>
        <v>9.1661454698101996E-2</v>
      </c>
      <c r="W7" s="123">
        <f t="shared" si="1"/>
        <v>0.20149673922021485</v>
      </c>
      <c r="X7" s="123">
        <f t="shared" si="1"/>
        <v>0.70684180608168312</v>
      </c>
      <c r="Y7" s="123">
        <f t="shared" si="1"/>
        <v>0.23465970507523606</v>
      </c>
      <c r="Z7" s="123">
        <f t="shared" si="1"/>
        <v>0.76534029492476396</v>
      </c>
      <c r="AA7" s="123">
        <f t="shared" si="1"/>
        <v>0.23465970507523606</v>
      </c>
      <c r="AB7" s="123">
        <f t="shared" si="1"/>
        <v>0.76534029492476396</v>
      </c>
    </row>
    <row r="8" spans="1:28" x14ac:dyDescent="0.3">
      <c r="A8" s="103" t="s">
        <v>5</v>
      </c>
      <c r="B8" s="124">
        <v>1.5809516482671076E-2</v>
      </c>
      <c r="C8" s="124">
        <v>0.24816955629693807</v>
      </c>
      <c r="D8" s="124">
        <v>0.73602092722039092</v>
      </c>
      <c r="E8" s="124">
        <v>1.5809516482671076E-2</v>
      </c>
      <c r="F8" s="124">
        <v>0.24816955629693807</v>
      </c>
      <c r="G8" s="124">
        <v>0.73602092722039092</v>
      </c>
      <c r="H8" s="124">
        <v>1.5809516482671076E-2</v>
      </c>
      <c r="I8" s="124">
        <v>0.24816955629693807</v>
      </c>
      <c r="J8" s="124">
        <v>0.73602092722039092</v>
      </c>
      <c r="K8" s="124">
        <v>1.5809516482671076E-2</v>
      </c>
      <c r="L8" s="124">
        <v>0.24816955629693807</v>
      </c>
      <c r="M8" s="124">
        <v>0.73602092722039092</v>
      </c>
      <c r="N8" s="124">
        <v>1.5809516482671076E-2</v>
      </c>
      <c r="O8" s="124">
        <v>0.24816955629693807</v>
      </c>
      <c r="P8" s="124">
        <v>0.73602092722039092</v>
      </c>
      <c r="Q8" s="124">
        <v>1.5809516482671076E-2</v>
      </c>
      <c r="R8" s="124">
        <v>0.24816955629693807</v>
      </c>
      <c r="S8" s="124">
        <v>0.73602092722039092</v>
      </c>
      <c r="T8" s="124">
        <v>0.25215602106822083</v>
      </c>
      <c r="U8" s="124">
        <v>0.74784397893177912</v>
      </c>
      <c r="V8" s="124">
        <v>1.5809516482671076E-2</v>
      </c>
      <c r="W8" s="124">
        <v>0.24816955629693807</v>
      </c>
      <c r="X8" s="124">
        <v>0.73602092722039092</v>
      </c>
      <c r="Y8" s="124">
        <v>0.25215602106822083</v>
      </c>
      <c r="Z8" s="124">
        <v>0.74784397893177912</v>
      </c>
      <c r="AA8" s="124">
        <v>0.25215602106822083</v>
      </c>
      <c r="AB8" s="124">
        <v>0.74784397893177912</v>
      </c>
    </row>
    <row r="9" spans="1:28" x14ac:dyDescent="0.3">
      <c r="A9" s="103" t="s">
        <v>6</v>
      </c>
      <c r="B9" s="123">
        <v>8.3012625506994189E-2</v>
      </c>
      <c r="C9" s="123">
        <v>0.14432790485985209</v>
      </c>
      <c r="D9" s="123">
        <v>0.77265946963315368</v>
      </c>
      <c r="E9" s="123">
        <v>8.3012625506994189E-2</v>
      </c>
      <c r="F9" s="123">
        <v>0.14432790485985209</v>
      </c>
      <c r="G9" s="123">
        <v>0.77265946963315368</v>
      </c>
      <c r="H9" s="123">
        <v>8.3012625506994189E-2</v>
      </c>
      <c r="I9" s="123">
        <v>0.14432790485985209</v>
      </c>
      <c r="J9" s="123">
        <v>0.77265946963315368</v>
      </c>
      <c r="K9" s="123">
        <v>8.3012625506994189E-2</v>
      </c>
      <c r="L9" s="123">
        <v>0.14432790485985209</v>
      </c>
      <c r="M9" s="123">
        <v>0.77265946963315368</v>
      </c>
      <c r="N9" s="123">
        <v>8.3012625506994189E-2</v>
      </c>
      <c r="O9" s="123">
        <v>0.14432790485985209</v>
      </c>
      <c r="P9" s="123">
        <v>0.77265946963315368</v>
      </c>
      <c r="Q9" s="123">
        <v>8.3012625506994189E-2</v>
      </c>
      <c r="R9" s="123">
        <v>0.14432790485985209</v>
      </c>
      <c r="S9" s="123">
        <v>0.77265946963315368</v>
      </c>
      <c r="T9" s="123">
        <v>0.1573935572882339</v>
      </c>
      <c r="U9" s="123">
        <v>0.8426064427117661</v>
      </c>
      <c r="V9" s="123">
        <v>8.3012625506994189E-2</v>
      </c>
      <c r="W9" s="123">
        <v>0.14432790485985209</v>
      </c>
      <c r="X9" s="123">
        <v>0.77265946963315368</v>
      </c>
      <c r="Y9" s="123">
        <v>0.1573935572882339</v>
      </c>
      <c r="Z9" s="123">
        <v>0.8426064427117661</v>
      </c>
      <c r="AA9" s="123">
        <v>0.1573935572882339</v>
      </c>
      <c r="AB9" s="123">
        <v>0.8426064427117661</v>
      </c>
    </row>
    <row r="10" spans="1:28" x14ac:dyDescent="0.3">
      <c r="A10" s="103" t="s">
        <v>7</v>
      </c>
      <c r="B10" s="124">
        <v>0.28986317704122883</v>
      </c>
      <c r="C10" s="124">
        <v>0.18872534357316087</v>
      </c>
      <c r="D10" s="124">
        <v>0.52141147938561039</v>
      </c>
      <c r="E10" s="124">
        <v>0.28986317704122883</v>
      </c>
      <c r="F10" s="124">
        <v>0.18872534357316087</v>
      </c>
      <c r="G10" s="124">
        <v>0.52141147938561039</v>
      </c>
      <c r="H10" s="124">
        <v>0.28986317704122883</v>
      </c>
      <c r="I10" s="124">
        <v>0.18872534357316087</v>
      </c>
      <c r="J10" s="124">
        <v>0.52141147938561039</v>
      </c>
      <c r="K10" s="124">
        <v>0.28986317704122883</v>
      </c>
      <c r="L10" s="124">
        <v>0.18872534357316087</v>
      </c>
      <c r="M10" s="124">
        <v>0.52141147938561039</v>
      </c>
      <c r="N10" s="124">
        <v>0.28986317704122883</v>
      </c>
      <c r="O10" s="124">
        <v>0.18872534357316087</v>
      </c>
      <c r="P10" s="124">
        <v>0.52141147938561039</v>
      </c>
      <c r="Q10" s="124">
        <v>0.28986317704122883</v>
      </c>
      <c r="R10" s="124">
        <v>0.18872534357316087</v>
      </c>
      <c r="S10" s="124">
        <v>0.52141147938561039</v>
      </c>
      <c r="T10" s="124">
        <v>0.26575912904620319</v>
      </c>
      <c r="U10" s="124">
        <v>0.73424087095379675</v>
      </c>
      <c r="V10" s="124">
        <v>0.28986317704122883</v>
      </c>
      <c r="W10" s="124">
        <v>0.18872534357316087</v>
      </c>
      <c r="X10" s="124">
        <v>0.52141147938561039</v>
      </c>
      <c r="Y10" s="124">
        <v>0.26575912904620319</v>
      </c>
      <c r="Z10" s="124">
        <v>0.73424087095379675</v>
      </c>
      <c r="AA10" s="124">
        <v>0.26575912904620319</v>
      </c>
      <c r="AB10" s="124">
        <v>0.73424087095379675</v>
      </c>
    </row>
    <row r="11" spans="1:28" x14ac:dyDescent="0.3">
      <c r="A11" s="103" t="s">
        <v>8</v>
      </c>
      <c r="B11" s="123">
        <v>4.000000000000001E-3</v>
      </c>
      <c r="C11" s="123">
        <v>0.18</v>
      </c>
      <c r="D11" s="123">
        <v>0.81600000000000006</v>
      </c>
      <c r="E11" s="123">
        <v>4.000000000000001E-3</v>
      </c>
      <c r="F11" s="123">
        <v>0.18</v>
      </c>
      <c r="G11" s="123">
        <v>0.81600000000000006</v>
      </c>
      <c r="H11" s="123">
        <v>4.000000000000001E-3</v>
      </c>
      <c r="I11" s="123">
        <v>0.18</v>
      </c>
      <c r="J11" s="123">
        <v>0.81600000000000006</v>
      </c>
      <c r="K11" s="123">
        <v>4.000000000000001E-3</v>
      </c>
      <c r="L11" s="123">
        <v>0.18</v>
      </c>
      <c r="M11" s="123">
        <v>0.81600000000000006</v>
      </c>
      <c r="N11" s="123">
        <v>4.000000000000001E-3</v>
      </c>
      <c r="O11" s="123">
        <v>0.18</v>
      </c>
      <c r="P11" s="123">
        <v>0.81600000000000006</v>
      </c>
      <c r="Q11" s="123">
        <v>4.000000000000001E-3</v>
      </c>
      <c r="R11" s="123">
        <v>0.18</v>
      </c>
      <c r="S11" s="123">
        <v>0.81600000000000006</v>
      </c>
      <c r="T11" s="123">
        <v>0.18072289156626506</v>
      </c>
      <c r="U11" s="123">
        <v>0.81927710843373491</v>
      </c>
      <c r="V11" s="123">
        <v>4.000000000000001E-3</v>
      </c>
      <c r="W11" s="123">
        <v>0.18</v>
      </c>
      <c r="X11" s="123">
        <v>0.81600000000000006</v>
      </c>
      <c r="Y11" s="123">
        <v>0.18072289156626506</v>
      </c>
      <c r="Z11" s="123">
        <v>0.81927710843373491</v>
      </c>
      <c r="AA11" s="123">
        <v>0.18072289156626506</v>
      </c>
      <c r="AB11" s="123">
        <v>0.81927710843373491</v>
      </c>
    </row>
    <row r="12" spans="1:28" x14ac:dyDescent="0.3">
      <c r="A12" s="103" t="s">
        <v>9</v>
      </c>
      <c r="B12" s="124">
        <v>2.3496073071013528E-2</v>
      </c>
      <c r="C12" s="124">
        <v>0.25710096959207002</v>
      </c>
      <c r="D12" s="124">
        <v>0.71940295733691639</v>
      </c>
      <c r="E12" s="124">
        <v>2.3496073071013528E-2</v>
      </c>
      <c r="F12" s="124">
        <v>0.25710096959207002</v>
      </c>
      <c r="G12" s="124">
        <v>0.71940295733691639</v>
      </c>
      <c r="H12" s="124">
        <v>2.3496073071013528E-2</v>
      </c>
      <c r="I12" s="124">
        <v>0.25710096959207002</v>
      </c>
      <c r="J12" s="124">
        <v>0.71940295733691639</v>
      </c>
      <c r="K12" s="124">
        <v>2.3496073071013528E-2</v>
      </c>
      <c r="L12" s="124">
        <v>0.25710096959207002</v>
      </c>
      <c r="M12" s="124">
        <v>0.71940295733691639</v>
      </c>
      <c r="N12" s="124">
        <v>2.3496073071013528E-2</v>
      </c>
      <c r="O12" s="124">
        <v>0.25710096959207002</v>
      </c>
      <c r="P12" s="124">
        <v>0.71940295733691639</v>
      </c>
      <c r="Q12" s="124">
        <v>2.3496073071013528E-2</v>
      </c>
      <c r="R12" s="124">
        <v>0.25710096959207002</v>
      </c>
      <c r="S12" s="124">
        <v>0.71940295733691639</v>
      </c>
      <c r="T12" s="124">
        <v>0.26328718451817035</v>
      </c>
      <c r="U12" s="124">
        <v>0.73671281548182954</v>
      </c>
      <c r="V12" s="124">
        <v>2.3496073071013528E-2</v>
      </c>
      <c r="W12" s="124">
        <v>0.25710096959207002</v>
      </c>
      <c r="X12" s="124">
        <v>0.71940295733691639</v>
      </c>
      <c r="Y12" s="124">
        <v>0.26328718451817035</v>
      </c>
      <c r="Z12" s="124">
        <v>0.73671281548182954</v>
      </c>
      <c r="AA12" s="124">
        <v>0.26328718451817035</v>
      </c>
      <c r="AB12" s="124">
        <v>0.73671281548182954</v>
      </c>
    </row>
    <row r="13" spans="1:28" x14ac:dyDescent="0.3">
      <c r="A13" s="103" t="s">
        <v>10</v>
      </c>
      <c r="B13" s="123">
        <f>B31</f>
        <v>9.1661454698101996E-2</v>
      </c>
      <c r="C13" s="123">
        <f>C31</f>
        <v>0.20149673922021485</v>
      </c>
      <c r="D13" s="123">
        <f>D31</f>
        <v>0.70684180608168312</v>
      </c>
      <c r="E13" s="123">
        <f t="shared" ref="E13:U13" si="2">E31</f>
        <v>9.1661454698101996E-2</v>
      </c>
      <c r="F13" s="123">
        <f t="shared" si="2"/>
        <v>0.20149673922021485</v>
      </c>
      <c r="G13" s="123">
        <f t="shared" si="2"/>
        <v>0.70684180608168312</v>
      </c>
      <c r="H13" s="123">
        <f t="shared" si="2"/>
        <v>9.1661454698101996E-2</v>
      </c>
      <c r="I13" s="123">
        <f t="shared" si="2"/>
        <v>0.20149673922021485</v>
      </c>
      <c r="J13" s="123">
        <f t="shared" si="2"/>
        <v>0.70684180608168312</v>
      </c>
      <c r="K13" s="123">
        <f t="shared" si="2"/>
        <v>9.1661454698101996E-2</v>
      </c>
      <c r="L13" s="123">
        <f t="shared" si="2"/>
        <v>0.20149673922021485</v>
      </c>
      <c r="M13" s="123">
        <f t="shared" si="2"/>
        <v>0.70684180608168312</v>
      </c>
      <c r="N13" s="123">
        <f t="shared" si="2"/>
        <v>9.1661454698101996E-2</v>
      </c>
      <c r="O13" s="123">
        <f t="shared" si="2"/>
        <v>0.20149673922021485</v>
      </c>
      <c r="P13" s="123">
        <f t="shared" si="2"/>
        <v>0.70684180608168312</v>
      </c>
      <c r="Q13" s="123">
        <f t="shared" si="2"/>
        <v>9.1661454698101996E-2</v>
      </c>
      <c r="R13" s="123">
        <f t="shared" si="2"/>
        <v>0.20149673922021485</v>
      </c>
      <c r="S13" s="123">
        <f t="shared" si="2"/>
        <v>0.70684180608168312</v>
      </c>
      <c r="T13" s="123">
        <f t="shared" si="2"/>
        <v>0.23465970507523606</v>
      </c>
      <c r="U13" s="123">
        <f t="shared" si="2"/>
        <v>0.76534029492476396</v>
      </c>
      <c r="V13" s="123">
        <f t="shared" ref="V13:AB13" si="3">V31</f>
        <v>9.1661454698101996E-2</v>
      </c>
      <c r="W13" s="123">
        <f t="shared" si="3"/>
        <v>0.20149673922021485</v>
      </c>
      <c r="X13" s="123">
        <f t="shared" si="3"/>
        <v>0.70684180608168312</v>
      </c>
      <c r="Y13" s="123">
        <f t="shared" si="3"/>
        <v>0.23465970507523606</v>
      </c>
      <c r="Z13" s="123">
        <f t="shared" si="3"/>
        <v>0.76534029492476396</v>
      </c>
      <c r="AA13" s="123">
        <f t="shared" si="3"/>
        <v>0.23465970507523606</v>
      </c>
      <c r="AB13" s="123">
        <f t="shared" si="3"/>
        <v>0.76534029492476396</v>
      </c>
    </row>
    <row r="14" spans="1:28" x14ac:dyDescent="0.3">
      <c r="A14" s="103" t="s">
        <v>11</v>
      </c>
      <c r="B14" s="124">
        <v>1.9593178118057671E-2</v>
      </c>
      <c r="C14" s="124">
        <v>0.20232086100168259</v>
      </c>
      <c r="D14" s="124">
        <v>0.77808596088025972</v>
      </c>
      <c r="E14" s="124">
        <v>1.9593178118057671E-2</v>
      </c>
      <c r="F14" s="124">
        <v>0.20232086100168259</v>
      </c>
      <c r="G14" s="124">
        <v>0.77808596088025972</v>
      </c>
      <c r="H14" s="124">
        <v>1.9593178118057671E-2</v>
      </c>
      <c r="I14" s="124">
        <v>0.20232086100168259</v>
      </c>
      <c r="J14" s="124">
        <v>0.77808596088025972</v>
      </c>
      <c r="K14" s="124">
        <v>1.9593178118057671E-2</v>
      </c>
      <c r="L14" s="124">
        <v>0.20232086100168259</v>
      </c>
      <c r="M14" s="124">
        <v>0.77808596088025972</v>
      </c>
      <c r="N14" s="124">
        <v>1.9593178118057671E-2</v>
      </c>
      <c r="O14" s="124">
        <v>0.20232086100168259</v>
      </c>
      <c r="P14" s="124">
        <v>0.77808596088025972</v>
      </c>
      <c r="Q14" s="124">
        <v>1.9593178118057671E-2</v>
      </c>
      <c r="R14" s="124">
        <v>0.20232086100168259</v>
      </c>
      <c r="S14" s="124">
        <v>0.77808596088025972</v>
      </c>
      <c r="T14" s="124">
        <v>0.20636419136019177</v>
      </c>
      <c r="U14" s="124">
        <v>0.7936358086398082</v>
      </c>
      <c r="V14" s="124">
        <v>1.9593178118057671E-2</v>
      </c>
      <c r="W14" s="124">
        <v>0.20232086100168259</v>
      </c>
      <c r="X14" s="124">
        <v>0.77808596088025972</v>
      </c>
      <c r="Y14" s="124">
        <v>0.20636419136019177</v>
      </c>
      <c r="Z14" s="124">
        <v>0.7936358086398082</v>
      </c>
      <c r="AA14" s="124">
        <v>0.20636419136019177</v>
      </c>
      <c r="AB14" s="124">
        <v>0.7936358086398082</v>
      </c>
    </row>
    <row r="15" spans="1:28" x14ac:dyDescent="0.3">
      <c r="A15" s="103" t="s">
        <v>12</v>
      </c>
      <c r="B15" s="123">
        <v>7.3686125742206912E-2</v>
      </c>
      <c r="C15" s="123">
        <v>0.17303017040503196</v>
      </c>
      <c r="D15" s="123">
        <v>0.75328370385276111</v>
      </c>
      <c r="E15" s="123">
        <v>7.3686125742206912E-2</v>
      </c>
      <c r="F15" s="123">
        <v>0.17303017040503196</v>
      </c>
      <c r="G15" s="123">
        <v>0.75328370385276111</v>
      </c>
      <c r="H15" s="123">
        <v>7.3686125742206912E-2</v>
      </c>
      <c r="I15" s="123">
        <v>0.17303017040503196</v>
      </c>
      <c r="J15" s="123">
        <v>0.75328370385276111</v>
      </c>
      <c r="K15" s="123">
        <v>7.3686125742206912E-2</v>
      </c>
      <c r="L15" s="123">
        <v>0.17303017040503196</v>
      </c>
      <c r="M15" s="123">
        <v>0.75328370385276111</v>
      </c>
      <c r="N15" s="123">
        <v>7.3686125742206912E-2</v>
      </c>
      <c r="O15" s="123">
        <v>0.17303017040503196</v>
      </c>
      <c r="P15" s="123">
        <v>0.75328370385276111</v>
      </c>
      <c r="Q15" s="123">
        <v>7.3686125742206912E-2</v>
      </c>
      <c r="R15" s="123">
        <v>0.17303017040503196</v>
      </c>
      <c r="S15" s="123">
        <v>0.75328370385276111</v>
      </c>
      <c r="T15" s="123">
        <v>0.18679432016892977</v>
      </c>
      <c r="U15" s="123">
        <v>0.81320567983107017</v>
      </c>
      <c r="V15" s="123">
        <v>7.3686125742206912E-2</v>
      </c>
      <c r="W15" s="123">
        <v>0.17303017040503196</v>
      </c>
      <c r="X15" s="123">
        <v>0.75328370385276111</v>
      </c>
      <c r="Y15" s="123">
        <v>0.18679432016892977</v>
      </c>
      <c r="Z15" s="123">
        <v>0.81320567983107017</v>
      </c>
      <c r="AA15" s="123">
        <v>0.18679432016892977</v>
      </c>
      <c r="AB15" s="123">
        <v>0.81320567983107017</v>
      </c>
    </row>
    <row r="16" spans="1:28" x14ac:dyDescent="0.3">
      <c r="A16" s="103" t="s">
        <v>13</v>
      </c>
      <c r="B16" s="124">
        <v>0.20406632108931266</v>
      </c>
      <c r="C16" s="124">
        <v>0.25435278652744364</v>
      </c>
      <c r="D16" s="124">
        <v>0.54158089238324369</v>
      </c>
      <c r="E16" s="124">
        <v>0.20406632108931266</v>
      </c>
      <c r="F16" s="124">
        <v>0.25435278652744364</v>
      </c>
      <c r="G16" s="124">
        <v>0.54158089238324369</v>
      </c>
      <c r="H16" s="124">
        <v>0.20406632108931266</v>
      </c>
      <c r="I16" s="124">
        <v>0.25435278652744364</v>
      </c>
      <c r="J16" s="124">
        <v>0.54158089238324369</v>
      </c>
      <c r="K16" s="124">
        <v>0.20406632108931266</v>
      </c>
      <c r="L16" s="124">
        <v>0.25435278652744364</v>
      </c>
      <c r="M16" s="124">
        <v>0.54158089238324369</v>
      </c>
      <c r="N16" s="124">
        <v>0.20406632108931266</v>
      </c>
      <c r="O16" s="124">
        <v>0.25435278652744364</v>
      </c>
      <c r="P16" s="124">
        <v>0.54158089238324369</v>
      </c>
      <c r="Q16" s="124">
        <v>0.20406632108931266</v>
      </c>
      <c r="R16" s="124">
        <v>0.25435278652744364</v>
      </c>
      <c r="S16" s="124">
        <v>0.54158089238324369</v>
      </c>
      <c r="T16" s="124">
        <v>0.31956530206832079</v>
      </c>
      <c r="U16" s="124">
        <v>0.68043469793167921</v>
      </c>
      <c r="V16" s="124">
        <v>0.20406632108931266</v>
      </c>
      <c r="W16" s="124">
        <v>0.25435278652744364</v>
      </c>
      <c r="X16" s="124">
        <v>0.54158089238324369</v>
      </c>
      <c r="Y16" s="124">
        <v>0.31956530206832079</v>
      </c>
      <c r="Z16" s="124">
        <v>0.68043469793167921</v>
      </c>
      <c r="AA16" s="124">
        <v>0.31956530206832079</v>
      </c>
      <c r="AB16" s="124">
        <v>0.68043469793167921</v>
      </c>
    </row>
    <row r="17" spans="1:28" x14ac:dyDescent="0.3">
      <c r="A17" s="103" t="s">
        <v>14</v>
      </c>
      <c r="B17" s="123">
        <v>5.854534332332776E-2</v>
      </c>
      <c r="C17" s="123">
        <v>0.14917468669337411</v>
      </c>
      <c r="D17" s="123">
        <v>0.79227996998329808</v>
      </c>
      <c r="E17" s="123">
        <v>5.854534332332776E-2</v>
      </c>
      <c r="F17" s="123">
        <v>0.14917468669337411</v>
      </c>
      <c r="G17" s="123">
        <v>0.79227996998329808</v>
      </c>
      <c r="H17" s="123">
        <v>5.854534332332776E-2</v>
      </c>
      <c r="I17" s="123">
        <v>0.14917468669337411</v>
      </c>
      <c r="J17" s="123">
        <v>0.79227996998329808</v>
      </c>
      <c r="K17" s="123">
        <v>5.854534332332776E-2</v>
      </c>
      <c r="L17" s="123">
        <v>0.14917468669337411</v>
      </c>
      <c r="M17" s="123">
        <v>0.79227996998329808</v>
      </c>
      <c r="N17" s="123">
        <v>5.854534332332776E-2</v>
      </c>
      <c r="O17" s="123">
        <v>0.14917468669337411</v>
      </c>
      <c r="P17" s="123">
        <v>0.79227996998329808</v>
      </c>
      <c r="Q17" s="123">
        <v>5.854534332332776E-2</v>
      </c>
      <c r="R17" s="123">
        <v>0.14917468669337411</v>
      </c>
      <c r="S17" s="123">
        <v>0.79227996998329808</v>
      </c>
      <c r="T17" s="123">
        <v>0.15845127073879436</v>
      </c>
      <c r="U17" s="123">
        <v>0.84154872926120561</v>
      </c>
      <c r="V17" s="123">
        <v>5.854534332332776E-2</v>
      </c>
      <c r="W17" s="123">
        <v>0.14917468669337411</v>
      </c>
      <c r="X17" s="123">
        <v>0.79227996998329808</v>
      </c>
      <c r="Y17" s="123">
        <v>0.15845127073879436</v>
      </c>
      <c r="Z17" s="123">
        <v>0.84154872926120561</v>
      </c>
      <c r="AA17" s="123">
        <v>0.15845127073879436</v>
      </c>
      <c r="AB17" s="123">
        <v>0.84154872926120561</v>
      </c>
    </row>
    <row r="18" spans="1:28" x14ac:dyDescent="0.3">
      <c r="A18" s="103" t="s">
        <v>15</v>
      </c>
      <c r="B18" s="124">
        <f>B31</f>
        <v>9.1661454698101996E-2</v>
      </c>
      <c r="C18" s="124">
        <f>C31</f>
        <v>0.20149673922021485</v>
      </c>
      <c r="D18" s="124">
        <f>D31</f>
        <v>0.70684180608168312</v>
      </c>
      <c r="E18" s="124">
        <f t="shared" ref="E18:U18" si="4">E31</f>
        <v>9.1661454698101996E-2</v>
      </c>
      <c r="F18" s="124">
        <f t="shared" si="4"/>
        <v>0.20149673922021485</v>
      </c>
      <c r="G18" s="124">
        <f t="shared" si="4"/>
        <v>0.70684180608168312</v>
      </c>
      <c r="H18" s="124">
        <f t="shared" si="4"/>
        <v>9.1661454698101996E-2</v>
      </c>
      <c r="I18" s="124">
        <f t="shared" si="4"/>
        <v>0.20149673922021485</v>
      </c>
      <c r="J18" s="124">
        <f t="shared" si="4"/>
        <v>0.70684180608168312</v>
      </c>
      <c r="K18" s="124">
        <f t="shared" si="4"/>
        <v>9.1661454698101996E-2</v>
      </c>
      <c r="L18" s="124">
        <f t="shared" si="4"/>
        <v>0.20149673922021485</v>
      </c>
      <c r="M18" s="124">
        <f t="shared" si="4"/>
        <v>0.70684180608168312</v>
      </c>
      <c r="N18" s="124">
        <f t="shared" si="4"/>
        <v>9.1661454698101996E-2</v>
      </c>
      <c r="O18" s="124">
        <f t="shared" si="4"/>
        <v>0.20149673922021485</v>
      </c>
      <c r="P18" s="124">
        <f t="shared" si="4"/>
        <v>0.70684180608168312</v>
      </c>
      <c r="Q18" s="124">
        <f t="shared" si="4"/>
        <v>9.1661454698101996E-2</v>
      </c>
      <c r="R18" s="124">
        <f t="shared" si="4"/>
        <v>0.20149673922021485</v>
      </c>
      <c r="S18" s="124">
        <f t="shared" si="4"/>
        <v>0.70684180608168312</v>
      </c>
      <c r="T18" s="124">
        <f t="shared" si="4"/>
        <v>0.23465970507523606</v>
      </c>
      <c r="U18" s="124">
        <f t="shared" si="4"/>
        <v>0.76534029492476396</v>
      </c>
      <c r="V18" s="124">
        <f>V31</f>
        <v>9.1661454698101996E-2</v>
      </c>
      <c r="W18" s="124"/>
      <c r="X18" s="124">
        <f>X31</f>
        <v>0.70684180608168312</v>
      </c>
      <c r="Y18" s="124">
        <f>Y31</f>
        <v>0.23465970507523606</v>
      </c>
      <c r="Z18" s="124">
        <f>Z31</f>
        <v>0.76534029492476396</v>
      </c>
      <c r="AA18" s="124">
        <f>AA31</f>
        <v>0.23465970507523606</v>
      </c>
      <c r="AB18" s="124">
        <f>AB31</f>
        <v>0.76534029492476396</v>
      </c>
    </row>
    <row r="19" spans="1:28" x14ac:dyDescent="0.3">
      <c r="A19" s="103" t="s">
        <v>16</v>
      </c>
      <c r="B19" s="123">
        <v>0.35101230339850226</v>
      </c>
      <c r="C19" s="123">
        <v>0.61775133826309847</v>
      </c>
      <c r="D19" s="123">
        <v>3.1236358338399155E-2</v>
      </c>
      <c r="E19" s="123">
        <v>0.35101230339850226</v>
      </c>
      <c r="F19" s="123">
        <v>0.61775133826309847</v>
      </c>
      <c r="G19" s="123">
        <v>3.1236358338399155E-2</v>
      </c>
      <c r="H19" s="123">
        <v>0.35101230339850226</v>
      </c>
      <c r="I19" s="123">
        <v>0.61775133826309847</v>
      </c>
      <c r="J19" s="123">
        <v>3.1236358338399155E-2</v>
      </c>
      <c r="K19" s="123">
        <v>0.35101230339850226</v>
      </c>
      <c r="L19" s="123">
        <v>0.61775133826309847</v>
      </c>
      <c r="M19" s="123">
        <v>3.1236358338399155E-2</v>
      </c>
      <c r="N19" s="123">
        <v>0.35101230339850226</v>
      </c>
      <c r="O19" s="123">
        <v>0.61775133826309847</v>
      </c>
      <c r="P19" s="123">
        <v>3.1236358338399155E-2</v>
      </c>
      <c r="Q19" s="123">
        <v>0.35101230339850226</v>
      </c>
      <c r="R19" s="123">
        <v>0.61775133826309847</v>
      </c>
      <c r="S19" s="123">
        <v>3.1236358338399155E-2</v>
      </c>
      <c r="T19" s="123">
        <v>0.95186910552854531</v>
      </c>
      <c r="U19" s="123">
        <v>4.8130894471454716E-2</v>
      </c>
      <c r="V19" s="123">
        <v>0.35101230339850226</v>
      </c>
      <c r="W19" s="123">
        <v>0.61775133826309847</v>
      </c>
      <c r="X19" s="123">
        <v>3.1236358338399155E-2</v>
      </c>
      <c r="Y19" s="123">
        <v>0.95186910552854531</v>
      </c>
      <c r="Z19" s="123">
        <v>4.8130894471454716E-2</v>
      </c>
      <c r="AA19" s="123">
        <v>0.95186910552854531</v>
      </c>
      <c r="AB19" s="123">
        <v>4.8130894471454716E-2</v>
      </c>
    </row>
    <row r="20" spans="1:28" x14ac:dyDescent="0.3">
      <c r="A20" s="103" t="s">
        <v>17</v>
      </c>
      <c r="B20" s="124">
        <v>0.18718055515124768</v>
      </c>
      <c r="C20" s="124">
        <v>0.227429935171054</v>
      </c>
      <c r="D20" s="124">
        <v>0.58538950967769821</v>
      </c>
      <c r="E20" s="124">
        <v>0.18718055515124768</v>
      </c>
      <c r="F20" s="124">
        <v>0.227429935171054</v>
      </c>
      <c r="G20" s="124">
        <v>0.58538950967769821</v>
      </c>
      <c r="H20" s="124">
        <v>0.18718055515124768</v>
      </c>
      <c r="I20" s="124">
        <v>0.227429935171054</v>
      </c>
      <c r="J20" s="124">
        <v>0.58538950967769821</v>
      </c>
      <c r="K20" s="124">
        <v>0.18718055515124768</v>
      </c>
      <c r="L20" s="124">
        <v>0.227429935171054</v>
      </c>
      <c r="M20" s="124">
        <v>0.58538950967769821</v>
      </c>
      <c r="N20" s="124">
        <v>0.18718055515124768</v>
      </c>
      <c r="O20" s="124">
        <v>0.227429935171054</v>
      </c>
      <c r="P20" s="124">
        <v>0.58538950967769821</v>
      </c>
      <c r="Q20" s="124">
        <v>0.18718055515124768</v>
      </c>
      <c r="R20" s="124">
        <v>0.227429935171054</v>
      </c>
      <c r="S20" s="124">
        <v>0.58538950967769821</v>
      </c>
      <c r="T20" s="124">
        <v>0.27980375791006534</v>
      </c>
      <c r="U20" s="124">
        <v>0.7201962420899346</v>
      </c>
      <c r="V20" s="124">
        <v>0.18718055515124768</v>
      </c>
      <c r="W20" s="124">
        <v>0.227429935171054</v>
      </c>
      <c r="X20" s="124">
        <v>0.58538950967769821</v>
      </c>
      <c r="Y20" s="124">
        <v>0.27980375791006534</v>
      </c>
      <c r="Z20" s="124">
        <v>0.7201962420899346</v>
      </c>
      <c r="AA20" s="124">
        <v>0.27980375791006534</v>
      </c>
      <c r="AB20" s="124">
        <v>0.7201962420899346</v>
      </c>
    </row>
    <row r="21" spans="1:28" x14ac:dyDescent="0.3">
      <c r="A21" s="103" t="s">
        <v>18</v>
      </c>
      <c r="B21" s="123">
        <f>B31</f>
        <v>9.1661454698101996E-2</v>
      </c>
      <c r="C21" s="123">
        <f>C31</f>
        <v>0.20149673922021485</v>
      </c>
      <c r="D21" s="123">
        <f>D31</f>
        <v>0.70684180608168312</v>
      </c>
      <c r="E21" s="123">
        <f t="shared" ref="E21:U21" si="5">E31</f>
        <v>9.1661454698101996E-2</v>
      </c>
      <c r="F21" s="123">
        <f t="shared" si="5"/>
        <v>0.20149673922021485</v>
      </c>
      <c r="G21" s="123">
        <f t="shared" si="5"/>
        <v>0.70684180608168312</v>
      </c>
      <c r="H21" s="123">
        <f t="shared" si="5"/>
        <v>9.1661454698101996E-2</v>
      </c>
      <c r="I21" s="123">
        <f t="shared" si="5"/>
        <v>0.20149673922021485</v>
      </c>
      <c r="J21" s="123">
        <f t="shared" si="5"/>
        <v>0.70684180608168312</v>
      </c>
      <c r="K21" s="123">
        <f t="shared" si="5"/>
        <v>9.1661454698101996E-2</v>
      </c>
      <c r="L21" s="123">
        <f t="shared" si="5"/>
        <v>0.20149673922021485</v>
      </c>
      <c r="M21" s="123">
        <f t="shared" si="5"/>
        <v>0.70684180608168312</v>
      </c>
      <c r="N21" s="123">
        <f t="shared" si="5"/>
        <v>9.1661454698101996E-2</v>
      </c>
      <c r="O21" s="123">
        <f t="shared" si="5"/>
        <v>0.20149673922021485</v>
      </c>
      <c r="P21" s="123">
        <f t="shared" si="5"/>
        <v>0.70684180608168312</v>
      </c>
      <c r="Q21" s="123">
        <f t="shared" si="5"/>
        <v>9.1661454698101996E-2</v>
      </c>
      <c r="R21" s="123">
        <f t="shared" si="5"/>
        <v>0.20149673922021485</v>
      </c>
      <c r="S21" s="123">
        <f t="shared" si="5"/>
        <v>0.70684180608168312</v>
      </c>
      <c r="T21" s="123">
        <f t="shared" si="5"/>
        <v>0.23465970507523606</v>
      </c>
      <c r="U21" s="123">
        <f t="shared" si="5"/>
        <v>0.76534029492476396</v>
      </c>
      <c r="V21" s="123">
        <f t="shared" ref="V21:AB21" si="6">V31</f>
        <v>9.1661454698101996E-2</v>
      </c>
      <c r="W21" s="123">
        <f t="shared" si="6"/>
        <v>0.20149673922021485</v>
      </c>
      <c r="X21" s="123">
        <f t="shared" si="6"/>
        <v>0.70684180608168312</v>
      </c>
      <c r="Y21" s="123">
        <f t="shared" si="6"/>
        <v>0.23465970507523606</v>
      </c>
      <c r="Z21" s="123">
        <f t="shared" si="6"/>
        <v>0.76534029492476396</v>
      </c>
      <c r="AA21" s="123">
        <f t="shared" si="6"/>
        <v>0.23465970507523606</v>
      </c>
      <c r="AB21" s="123">
        <f t="shared" si="6"/>
        <v>0.76534029492476396</v>
      </c>
    </row>
    <row r="22" spans="1:28" x14ac:dyDescent="0.3">
      <c r="A22" s="103" t="s">
        <v>19</v>
      </c>
      <c r="B22" s="124">
        <v>5.6098753248172789E-2</v>
      </c>
      <c r="C22" s="124">
        <v>0.10050429249171675</v>
      </c>
      <c r="D22" s="124">
        <v>0.84339695426011041</v>
      </c>
      <c r="E22" s="124">
        <v>5.6098753248172789E-2</v>
      </c>
      <c r="F22" s="124">
        <v>0.10050429249171675</v>
      </c>
      <c r="G22" s="124">
        <v>0.84339695426011041</v>
      </c>
      <c r="H22" s="124">
        <v>5.6098753248172789E-2</v>
      </c>
      <c r="I22" s="124">
        <v>0.10050429249171675</v>
      </c>
      <c r="J22" s="124">
        <v>0.84339695426011041</v>
      </c>
      <c r="K22" s="124">
        <v>5.6098753248172789E-2</v>
      </c>
      <c r="L22" s="124">
        <v>0.10050429249171675</v>
      </c>
      <c r="M22" s="124">
        <v>0.84339695426011041</v>
      </c>
      <c r="N22" s="124">
        <v>5.6098753248172789E-2</v>
      </c>
      <c r="O22" s="124">
        <v>0.10050429249171675</v>
      </c>
      <c r="P22" s="124">
        <v>0.84339695426011041</v>
      </c>
      <c r="Q22" s="124">
        <v>5.6098753248172789E-2</v>
      </c>
      <c r="R22" s="124">
        <v>0.10050429249171675</v>
      </c>
      <c r="S22" s="124">
        <v>0.84339695426011041</v>
      </c>
      <c r="T22" s="124">
        <v>0.10647755031320726</v>
      </c>
      <c r="U22" s="124">
        <v>0.89352244968679273</v>
      </c>
      <c r="V22" s="124">
        <v>5.6098753248172789E-2</v>
      </c>
      <c r="W22" s="124">
        <v>0.10050429249171675</v>
      </c>
      <c r="X22" s="124">
        <v>0.84339695426011041</v>
      </c>
      <c r="Y22" s="124">
        <v>0.10647755031320726</v>
      </c>
      <c r="Z22" s="124">
        <v>0.89352244968679273</v>
      </c>
      <c r="AA22" s="124">
        <v>0.10647755031320726</v>
      </c>
      <c r="AB22" s="124">
        <v>0.89352244968679273</v>
      </c>
    </row>
    <row r="23" spans="1:28" x14ac:dyDescent="0.3">
      <c r="A23" s="103" t="s">
        <v>20</v>
      </c>
      <c r="B23" s="123">
        <v>7.8532820263515091E-3</v>
      </c>
      <c r="C23" s="123">
        <v>0.14313034576640829</v>
      </c>
      <c r="D23" s="123">
        <v>0.84901637220724024</v>
      </c>
      <c r="E23" s="123">
        <v>7.8532820263515091E-3</v>
      </c>
      <c r="F23" s="123">
        <v>0.14313034576640829</v>
      </c>
      <c r="G23" s="123">
        <v>0.84901637220724024</v>
      </c>
      <c r="H23" s="123">
        <v>7.8532820263515091E-3</v>
      </c>
      <c r="I23" s="123">
        <v>0.14313034576640829</v>
      </c>
      <c r="J23" s="123">
        <v>0.84901637220724024</v>
      </c>
      <c r="K23" s="123">
        <v>7.8532820263515091E-3</v>
      </c>
      <c r="L23" s="123">
        <v>0.14313034576640829</v>
      </c>
      <c r="M23" s="123">
        <v>0.84901637220724024</v>
      </c>
      <c r="N23" s="123">
        <v>7.8532820263515091E-3</v>
      </c>
      <c r="O23" s="123">
        <v>0.14313034576640829</v>
      </c>
      <c r="P23" s="123">
        <v>0.84901637220724024</v>
      </c>
      <c r="Q23" s="123">
        <v>7.8532820263515091E-3</v>
      </c>
      <c r="R23" s="123">
        <v>0.14313034576640829</v>
      </c>
      <c r="S23" s="123">
        <v>0.84901637220724024</v>
      </c>
      <c r="T23" s="123">
        <v>0.14426328603771066</v>
      </c>
      <c r="U23" s="123">
        <v>0.85573671396228945</v>
      </c>
      <c r="V23" s="123">
        <v>7.8532820263515091E-3</v>
      </c>
      <c r="W23" s="123">
        <v>0.14313034576640829</v>
      </c>
      <c r="X23" s="123">
        <v>0.84901637220724024</v>
      </c>
      <c r="Y23" s="123">
        <v>0.14426328603771066</v>
      </c>
      <c r="Z23" s="123">
        <v>0.85573671396228945</v>
      </c>
      <c r="AA23" s="123">
        <v>0.14426328603771066</v>
      </c>
      <c r="AB23" s="123">
        <v>0.85573671396228945</v>
      </c>
    </row>
    <row r="24" spans="1:28" x14ac:dyDescent="0.3">
      <c r="A24" s="103" t="s">
        <v>21</v>
      </c>
      <c r="B24" s="124">
        <v>1.6038492381716115E-2</v>
      </c>
      <c r="C24" s="124">
        <v>0.19807538091419402</v>
      </c>
      <c r="D24" s="124">
        <v>0.78588612670408975</v>
      </c>
      <c r="E24" s="124">
        <v>1.6038492381716115E-2</v>
      </c>
      <c r="F24" s="124">
        <v>0.19807538091419402</v>
      </c>
      <c r="G24" s="124">
        <v>0.78588612670408975</v>
      </c>
      <c r="H24" s="124">
        <v>1.6038492381716115E-2</v>
      </c>
      <c r="I24" s="124">
        <v>0.19807538091419402</v>
      </c>
      <c r="J24" s="124">
        <v>0.78588612670408975</v>
      </c>
      <c r="K24" s="124">
        <v>1.6038492381716115E-2</v>
      </c>
      <c r="L24" s="124">
        <v>0.19807538091419402</v>
      </c>
      <c r="M24" s="124">
        <v>0.78588612670408975</v>
      </c>
      <c r="N24" s="124">
        <v>1.6038492381716115E-2</v>
      </c>
      <c r="O24" s="124">
        <v>0.19807538091419402</v>
      </c>
      <c r="P24" s="124">
        <v>0.78588612670408975</v>
      </c>
      <c r="Q24" s="124">
        <v>1.6038492381716115E-2</v>
      </c>
      <c r="R24" s="124">
        <v>0.19807538091419402</v>
      </c>
      <c r="S24" s="124">
        <v>0.78588612670408975</v>
      </c>
      <c r="T24" s="124">
        <v>0.20130399348003258</v>
      </c>
      <c r="U24" s="124">
        <v>0.79869600651996742</v>
      </c>
      <c r="V24" s="124">
        <v>1.6038492381716115E-2</v>
      </c>
      <c r="W24" s="124">
        <v>0.19807538091419402</v>
      </c>
      <c r="X24" s="124">
        <v>0.78588612670408975</v>
      </c>
      <c r="Y24" s="124">
        <v>0.20130399348003258</v>
      </c>
      <c r="Z24" s="124">
        <v>0.79869600651996742</v>
      </c>
      <c r="AA24" s="124">
        <v>0.20130399348003258</v>
      </c>
      <c r="AB24" s="124">
        <v>0.79869600651996742</v>
      </c>
    </row>
    <row r="25" spans="1:28" x14ac:dyDescent="0.3">
      <c r="A25" s="103" t="s">
        <v>22</v>
      </c>
      <c r="B25" s="123">
        <v>5.369355481380355E-3</v>
      </c>
      <c r="C25" s="123">
        <v>6.228974923411567E-2</v>
      </c>
      <c r="D25" s="123">
        <v>0.93234089528450403</v>
      </c>
      <c r="E25" s="123">
        <v>5.369355481380355E-3</v>
      </c>
      <c r="F25" s="123">
        <v>6.228974923411567E-2</v>
      </c>
      <c r="G25" s="123">
        <v>0.93234089528450403</v>
      </c>
      <c r="H25" s="123">
        <v>5.369355481380355E-3</v>
      </c>
      <c r="I25" s="123">
        <v>6.228974923411567E-2</v>
      </c>
      <c r="J25" s="123">
        <v>0.93234089528450403</v>
      </c>
      <c r="K25" s="123">
        <v>5.369355481380355E-3</v>
      </c>
      <c r="L25" s="123">
        <v>6.228974923411567E-2</v>
      </c>
      <c r="M25" s="123">
        <v>0.93234089528450403</v>
      </c>
      <c r="N25" s="123">
        <v>5.369355481380355E-3</v>
      </c>
      <c r="O25" s="123">
        <v>6.228974923411567E-2</v>
      </c>
      <c r="P25" s="123">
        <v>0.93234089528450403</v>
      </c>
      <c r="Q25" s="123">
        <v>5.369355481380355E-3</v>
      </c>
      <c r="R25" s="123">
        <v>6.228974923411567E-2</v>
      </c>
      <c r="S25" s="123">
        <v>0.93234089528450403</v>
      </c>
      <c r="T25" s="123">
        <v>6.2626010547123856E-2</v>
      </c>
      <c r="U25" s="123">
        <v>0.9373739894528762</v>
      </c>
      <c r="V25" s="123">
        <v>5.369355481380355E-3</v>
      </c>
      <c r="W25" s="123">
        <v>6.228974923411567E-2</v>
      </c>
      <c r="X25" s="123">
        <v>0.93234089528450403</v>
      </c>
      <c r="Y25" s="123">
        <v>6.2626010547123856E-2</v>
      </c>
      <c r="Z25" s="123">
        <v>0.9373739894528762</v>
      </c>
      <c r="AA25" s="123">
        <v>6.2626010547123856E-2</v>
      </c>
      <c r="AB25" s="123">
        <v>0.9373739894528762</v>
      </c>
    </row>
    <row r="26" spans="1:28" x14ac:dyDescent="0.3">
      <c r="A26" s="103" t="s">
        <v>23</v>
      </c>
      <c r="B26" s="124">
        <v>2.6500045993196112E-2</v>
      </c>
      <c r="C26" s="124">
        <v>8.6928889079272542E-2</v>
      </c>
      <c r="D26" s="124">
        <v>0.88657106492753135</v>
      </c>
      <c r="E26" s="124">
        <v>2.6500045993196112E-2</v>
      </c>
      <c r="F26" s="124">
        <v>8.6928889079272542E-2</v>
      </c>
      <c r="G26" s="124">
        <v>0.88657106492753135</v>
      </c>
      <c r="H26" s="124">
        <v>2.6500045993196112E-2</v>
      </c>
      <c r="I26" s="124">
        <v>8.6928889079272542E-2</v>
      </c>
      <c r="J26" s="124">
        <v>0.88657106492753135</v>
      </c>
      <c r="K26" s="124">
        <v>2.6500045993196112E-2</v>
      </c>
      <c r="L26" s="124">
        <v>8.6928889079272542E-2</v>
      </c>
      <c r="M26" s="124">
        <v>0.88657106492753135</v>
      </c>
      <c r="N26" s="124">
        <v>2.6500045993196112E-2</v>
      </c>
      <c r="O26" s="124">
        <v>8.6928889079272542E-2</v>
      </c>
      <c r="P26" s="124">
        <v>0.88657106492753135</v>
      </c>
      <c r="Q26" s="124">
        <v>2.6500045993196112E-2</v>
      </c>
      <c r="R26" s="124">
        <v>8.6928889079272542E-2</v>
      </c>
      <c r="S26" s="124">
        <v>0.88657106492753135</v>
      </c>
      <c r="T26" s="124">
        <v>8.9295216421412388E-2</v>
      </c>
      <c r="U26" s="124">
        <v>0.91070478357858764</v>
      </c>
      <c r="V26" s="124">
        <v>2.6500045993196112E-2</v>
      </c>
      <c r="W26" s="124">
        <v>8.6928889079272542E-2</v>
      </c>
      <c r="X26" s="124">
        <v>0.88657106492753135</v>
      </c>
      <c r="Y26" s="124">
        <v>8.9295216421412388E-2</v>
      </c>
      <c r="Z26" s="124">
        <v>0.91070478357858764</v>
      </c>
      <c r="AA26" s="124">
        <v>8.9295216421412388E-2</v>
      </c>
      <c r="AB26" s="124">
        <v>0.91070478357858764</v>
      </c>
    </row>
    <row r="27" spans="1:28" x14ac:dyDescent="0.3">
      <c r="A27" s="103" t="s">
        <v>24</v>
      </c>
      <c r="B27" s="123">
        <v>1.3069597805412395E-2</v>
      </c>
      <c r="C27" s="123">
        <v>0.13574302735073859</v>
      </c>
      <c r="D27" s="123">
        <v>0.8511873748438491</v>
      </c>
      <c r="E27" s="123">
        <v>1.3069597805412395E-2</v>
      </c>
      <c r="F27" s="123">
        <v>0.13574302735073859</v>
      </c>
      <c r="G27" s="123">
        <v>0.8511873748438491</v>
      </c>
      <c r="H27" s="123">
        <v>1.3069597805412395E-2</v>
      </c>
      <c r="I27" s="123">
        <v>0.13574302735073859</v>
      </c>
      <c r="J27" s="123">
        <v>0.8511873748438491</v>
      </c>
      <c r="K27" s="123">
        <v>1.3069597805412395E-2</v>
      </c>
      <c r="L27" s="123">
        <v>0.13574302735073859</v>
      </c>
      <c r="M27" s="123">
        <v>0.8511873748438491</v>
      </c>
      <c r="N27" s="123">
        <v>1.3069597805412395E-2</v>
      </c>
      <c r="O27" s="123">
        <v>0.13574302735073859</v>
      </c>
      <c r="P27" s="123">
        <v>0.8511873748438491</v>
      </c>
      <c r="Q27" s="123">
        <v>1.3069597805412395E-2</v>
      </c>
      <c r="R27" s="123">
        <v>0.13574302735073859</v>
      </c>
      <c r="S27" s="123">
        <v>0.8511873748438491</v>
      </c>
      <c r="T27" s="123">
        <v>0.13754062804114009</v>
      </c>
      <c r="U27" s="123">
        <v>0.8624593719588598</v>
      </c>
      <c r="V27" s="123">
        <v>1.3069597805412395E-2</v>
      </c>
      <c r="W27" s="123">
        <v>0.13574302735073859</v>
      </c>
      <c r="X27" s="123">
        <v>0.8511873748438491</v>
      </c>
      <c r="Y27" s="123">
        <v>0.13754062804114009</v>
      </c>
      <c r="Z27" s="123">
        <v>0.8624593719588598</v>
      </c>
      <c r="AA27" s="123">
        <v>0.13754062804114009</v>
      </c>
      <c r="AB27" s="123">
        <v>0.8624593719588598</v>
      </c>
    </row>
    <row r="28" spans="1:28" x14ac:dyDescent="0.3">
      <c r="A28" s="103" t="s">
        <v>25</v>
      </c>
      <c r="B28" s="124">
        <v>0.10900039152122909</v>
      </c>
      <c r="C28" s="124">
        <v>0.42784924853479722</v>
      </c>
      <c r="D28" s="124">
        <v>0.46315035994397369</v>
      </c>
      <c r="E28" s="124">
        <v>0.10900039152122909</v>
      </c>
      <c r="F28" s="124">
        <v>0.42784924853479722</v>
      </c>
      <c r="G28" s="124">
        <v>0.46315035994397369</v>
      </c>
      <c r="H28" s="124">
        <v>0.10900039152122909</v>
      </c>
      <c r="I28" s="124">
        <v>0.42784924853479722</v>
      </c>
      <c r="J28" s="124">
        <v>0.46315035994397369</v>
      </c>
      <c r="K28" s="124">
        <v>0.10900039152122909</v>
      </c>
      <c r="L28" s="124">
        <v>0.42784924853479722</v>
      </c>
      <c r="M28" s="124">
        <v>0.46315035994397369</v>
      </c>
      <c r="N28" s="124">
        <v>0.10900039152122909</v>
      </c>
      <c r="O28" s="124">
        <v>0.42784924853479722</v>
      </c>
      <c r="P28" s="124">
        <v>0.46315035994397369</v>
      </c>
      <c r="Q28" s="124">
        <v>0.10900039152122909</v>
      </c>
      <c r="R28" s="124">
        <v>0.42784924853479722</v>
      </c>
      <c r="S28" s="124">
        <v>0.46315035994397369</v>
      </c>
      <c r="T28" s="124">
        <v>0.48019016446626334</v>
      </c>
      <c r="U28" s="124">
        <v>0.51980983553373672</v>
      </c>
      <c r="V28" s="124">
        <v>0.10900039152122909</v>
      </c>
      <c r="W28" s="124">
        <v>0.42784924853479722</v>
      </c>
      <c r="X28" s="124">
        <v>0.46315035994397369</v>
      </c>
      <c r="Y28" s="124">
        <v>0.48019016446626334</v>
      </c>
      <c r="Z28" s="124">
        <v>0.51980983553373672</v>
      </c>
      <c r="AA28" s="124">
        <v>0.48019016446626334</v>
      </c>
      <c r="AB28" s="124">
        <v>0.51980983553373672</v>
      </c>
    </row>
    <row r="29" spans="1:28" x14ac:dyDescent="0.3">
      <c r="A29" s="103" t="s">
        <v>41</v>
      </c>
      <c r="B29" s="123">
        <v>0.24102260972365896</v>
      </c>
      <c r="C29" s="123">
        <v>0.11201418649327621</v>
      </c>
      <c r="D29" s="123">
        <v>0.64696320378306482</v>
      </c>
      <c r="E29" s="123">
        <v>0.24102260972365896</v>
      </c>
      <c r="F29" s="123">
        <v>0.11201418649327621</v>
      </c>
      <c r="G29" s="123">
        <v>0.64696320378306482</v>
      </c>
      <c r="H29" s="123">
        <v>0.24102260972365896</v>
      </c>
      <c r="I29" s="123">
        <v>0.11201418649327621</v>
      </c>
      <c r="J29" s="123">
        <v>0.64696320378306482</v>
      </c>
      <c r="K29" s="123">
        <v>0.24102260972365896</v>
      </c>
      <c r="L29" s="123">
        <v>0.11201418649327621</v>
      </c>
      <c r="M29" s="123">
        <v>0.64696320378306482</v>
      </c>
      <c r="N29" s="123">
        <v>0.24102260972365896</v>
      </c>
      <c r="O29" s="123">
        <v>0.11201418649327621</v>
      </c>
      <c r="P29" s="123">
        <v>0.64696320378306482</v>
      </c>
      <c r="Q29" s="123">
        <v>0.24102260972365896</v>
      </c>
      <c r="R29" s="123">
        <v>0.11201418649327621</v>
      </c>
      <c r="S29" s="123">
        <v>0.64696320378306482</v>
      </c>
      <c r="T29" s="123">
        <v>0.14758566978193149</v>
      </c>
      <c r="U29" s="123">
        <v>0.85241433021806845</v>
      </c>
      <c r="V29" s="123">
        <v>0.24102260972365896</v>
      </c>
      <c r="W29" s="123">
        <v>0.11201418649327621</v>
      </c>
      <c r="X29" s="123">
        <v>0.64696320378306482</v>
      </c>
      <c r="Y29" s="123">
        <v>0.14758566978193149</v>
      </c>
      <c r="Z29" s="123">
        <v>0.85241433021806845</v>
      </c>
      <c r="AA29" s="123">
        <v>0.14758566978193149</v>
      </c>
      <c r="AB29" s="123">
        <v>0.85241433021806845</v>
      </c>
    </row>
    <row r="30" spans="1:28" x14ac:dyDescent="0.3">
      <c r="A30" s="103" t="s">
        <v>27</v>
      </c>
      <c r="B30" s="124">
        <v>6.8898403893613291E-2</v>
      </c>
      <c r="C30" s="124">
        <v>0.10525914380238538</v>
      </c>
      <c r="D30" s="124">
        <v>0.82584245230400133</v>
      </c>
      <c r="E30" s="124">
        <v>6.8898403893613291E-2</v>
      </c>
      <c r="F30" s="124">
        <v>0.10525914380238538</v>
      </c>
      <c r="G30" s="124">
        <v>0.82584245230400133</v>
      </c>
      <c r="H30" s="124">
        <v>6.8898403893613291E-2</v>
      </c>
      <c r="I30" s="124">
        <v>0.10525914380238538</v>
      </c>
      <c r="J30" s="124">
        <v>0.82584245230400133</v>
      </c>
      <c r="K30" s="124">
        <v>6.8898403893613291E-2</v>
      </c>
      <c r="L30" s="124">
        <v>0.10525914380238538</v>
      </c>
      <c r="M30" s="124">
        <v>0.82584245230400133</v>
      </c>
      <c r="N30" s="124">
        <v>6.8898403893613291E-2</v>
      </c>
      <c r="O30" s="124">
        <v>0.10525914380238538</v>
      </c>
      <c r="P30" s="124">
        <v>0.82584245230400133</v>
      </c>
      <c r="Q30" s="124">
        <v>6.8898403893613291E-2</v>
      </c>
      <c r="R30" s="124">
        <v>0.10525914380238538</v>
      </c>
      <c r="S30" s="124">
        <v>0.82584245230400133</v>
      </c>
      <c r="T30" s="124">
        <v>0.11304796838771455</v>
      </c>
      <c r="U30" s="124">
        <v>0.88695203161228542</v>
      </c>
      <c r="V30" s="124">
        <v>6.8898403893613291E-2</v>
      </c>
      <c r="W30" s="124">
        <v>0.10525914380238538</v>
      </c>
      <c r="X30" s="124">
        <v>0.82584245230400133</v>
      </c>
      <c r="Y30" s="124">
        <v>0.11304796838771455</v>
      </c>
      <c r="Z30" s="124">
        <v>0.88695203161228542</v>
      </c>
      <c r="AA30" s="124">
        <v>0.11304796838771455</v>
      </c>
      <c r="AB30" s="124">
        <v>0.88695203161228542</v>
      </c>
    </row>
    <row r="31" spans="1:28" x14ac:dyDescent="0.3">
      <c r="A31" s="125" t="s">
        <v>28</v>
      </c>
      <c r="B31" s="121">
        <f>AVERAGE(B5:B6,B8:B12,B14:B17,B19:B20,B22:B30)</f>
        <v>9.1661454698101996E-2</v>
      </c>
      <c r="C31" s="121">
        <f>AVERAGE(C5:C6,C8:C12,C14:C17,C19:C20,C22:C30)</f>
        <v>0.20149673922021485</v>
      </c>
      <c r="D31" s="121">
        <f>AVERAGE(D5:D6,D8:D12,D14:D17,D19:D20,D22:D30)</f>
        <v>0.70684180608168312</v>
      </c>
      <c r="E31" s="120">
        <f t="shared" ref="E31:U31" si="7">AVERAGE(E22:E30,E20,E19,E16:E17,E15,E14,E12,E8:E11,E5:E6)</f>
        <v>9.1661454698101996E-2</v>
      </c>
      <c r="F31" s="121">
        <f t="shared" si="7"/>
        <v>0.20149673922021485</v>
      </c>
      <c r="G31" s="120">
        <f t="shared" si="7"/>
        <v>0.70684180608168312</v>
      </c>
      <c r="H31" s="120">
        <f t="shared" si="7"/>
        <v>9.1661454698101996E-2</v>
      </c>
      <c r="I31" s="121">
        <f t="shared" si="7"/>
        <v>0.20149673922021485</v>
      </c>
      <c r="J31" s="120">
        <f t="shared" si="7"/>
        <v>0.70684180608168312</v>
      </c>
      <c r="K31" s="120">
        <f t="shared" si="7"/>
        <v>9.1661454698101996E-2</v>
      </c>
      <c r="L31" s="121">
        <f t="shared" si="7"/>
        <v>0.20149673922021485</v>
      </c>
      <c r="M31" s="120">
        <f t="shared" si="7"/>
        <v>0.70684180608168312</v>
      </c>
      <c r="N31" s="120">
        <f t="shared" si="7"/>
        <v>9.1661454698101996E-2</v>
      </c>
      <c r="O31" s="121">
        <f t="shared" si="7"/>
        <v>0.20149673922021485</v>
      </c>
      <c r="P31" s="120">
        <f t="shared" si="7"/>
        <v>0.70684180608168312</v>
      </c>
      <c r="Q31" s="120">
        <f t="shared" si="7"/>
        <v>9.1661454698101996E-2</v>
      </c>
      <c r="R31" s="121">
        <f t="shared" si="7"/>
        <v>0.20149673922021485</v>
      </c>
      <c r="S31" s="120">
        <f t="shared" si="7"/>
        <v>0.70684180608168312</v>
      </c>
      <c r="T31" s="120">
        <f t="shared" si="7"/>
        <v>0.23465970507523606</v>
      </c>
      <c r="U31" s="121">
        <f t="shared" si="7"/>
        <v>0.76534029492476396</v>
      </c>
      <c r="V31" s="120">
        <f t="shared" ref="V31:AB31" si="8">AVERAGE(V22:V30,V20,V19,V16:V17,V15,V14,V12,V8:V11,V5:V6)</f>
        <v>9.1661454698101996E-2</v>
      </c>
      <c r="W31" s="121">
        <f t="shared" si="8"/>
        <v>0.20149673922021485</v>
      </c>
      <c r="X31" s="120">
        <f t="shared" si="8"/>
        <v>0.70684180608168312</v>
      </c>
      <c r="Y31" s="120">
        <f t="shared" si="8"/>
        <v>0.23465970507523606</v>
      </c>
      <c r="Z31" s="121">
        <f t="shared" si="8"/>
        <v>0.76534029492476396</v>
      </c>
      <c r="AA31" s="120">
        <f t="shared" si="8"/>
        <v>0.23465970507523606</v>
      </c>
      <c r="AB31" s="121">
        <f t="shared" si="8"/>
        <v>0.76534029492476396</v>
      </c>
    </row>
    <row r="34" spans="1:7" x14ac:dyDescent="0.3">
      <c r="A34" s="202" t="s">
        <v>318</v>
      </c>
      <c r="B34" s="264" t="s">
        <v>327</v>
      </c>
      <c r="C34" s="244"/>
      <c r="D34" s="244"/>
      <c r="E34" s="244"/>
      <c r="F34" s="244"/>
      <c r="G34" s="244"/>
    </row>
    <row r="35" spans="1:7" x14ac:dyDescent="0.3">
      <c r="A35" s="202"/>
      <c r="B35" s="264" t="s">
        <v>328</v>
      </c>
      <c r="C35" s="264"/>
      <c r="D35" s="264"/>
      <c r="E35" s="264"/>
      <c r="F35" s="264"/>
      <c r="G35" s="102"/>
    </row>
  </sheetData>
  <mergeCells count="15">
    <mergeCell ref="B1:D3"/>
    <mergeCell ref="A1:A4"/>
    <mergeCell ref="B34:G34"/>
    <mergeCell ref="B35:F35"/>
    <mergeCell ref="V1:AB1"/>
    <mergeCell ref="Q2:S3"/>
    <mergeCell ref="T2:U3"/>
    <mergeCell ref="V2:X3"/>
    <mergeCell ref="Y2:Z3"/>
    <mergeCell ref="AA2:AB3"/>
    <mergeCell ref="N2:P3"/>
    <mergeCell ref="E2:G3"/>
    <mergeCell ref="H2:J3"/>
    <mergeCell ref="K2:M3"/>
    <mergeCell ref="E1:U1"/>
  </mergeCells>
  <hyperlinks>
    <hyperlink ref="B34" r:id="rId1" location="Energy_consumption_in_households_by_type_of_end-use"/>
    <hyperlink ref="B3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3"/>
  <sheetViews>
    <sheetView showGridLines="0" zoomScale="60" zoomScaleNormal="60" workbookViewId="0">
      <selection activeCell="K3" sqref="K3"/>
    </sheetView>
  </sheetViews>
  <sheetFormatPr defaultRowHeight="15" x14ac:dyDescent="0.25"/>
  <cols>
    <col min="1" max="12" width="20.7109375" style="41" customWidth="1"/>
    <col min="13" max="16384" width="9.140625" style="41"/>
  </cols>
  <sheetData>
    <row r="1" spans="1:12" s="185" customFormat="1" ht="30" customHeight="1" x14ac:dyDescent="0.25">
      <c r="A1" s="254" t="s">
        <v>29</v>
      </c>
      <c r="B1" s="254" t="s">
        <v>339</v>
      </c>
      <c r="C1" s="254"/>
      <c r="D1" s="254"/>
      <c r="E1" s="254"/>
      <c r="F1" s="254"/>
      <c r="G1" s="254"/>
      <c r="H1" s="254" t="s">
        <v>340</v>
      </c>
      <c r="I1" s="254"/>
      <c r="J1" s="254"/>
      <c r="K1" s="254" t="s">
        <v>300</v>
      </c>
      <c r="L1" s="254"/>
    </row>
    <row r="2" spans="1:12" s="185" customFormat="1" ht="30" customHeight="1" x14ac:dyDescent="0.25">
      <c r="A2" s="254"/>
      <c r="B2" s="254"/>
      <c r="C2" s="254"/>
      <c r="D2" s="254"/>
      <c r="E2" s="254"/>
      <c r="F2" s="254"/>
      <c r="G2" s="254"/>
      <c r="H2" s="254"/>
      <c r="I2" s="254"/>
      <c r="J2" s="254"/>
      <c r="K2" s="254"/>
      <c r="L2" s="254"/>
    </row>
    <row r="3" spans="1:12" s="185" customFormat="1" ht="50.1" customHeight="1" x14ac:dyDescent="0.25">
      <c r="A3" s="254"/>
      <c r="B3" s="21" t="s">
        <v>31</v>
      </c>
      <c r="C3" s="21" t="s">
        <v>32</v>
      </c>
      <c r="D3" s="21" t="s">
        <v>33</v>
      </c>
      <c r="E3" s="21" t="s">
        <v>34</v>
      </c>
      <c r="F3" s="21" t="s">
        <v>35</v>
      </c>
      <c r="G3" s="21" t="s">
        <v>36</v>
      </c>
      <c r="H3" s="21" t="s">
        <v>38</v>
      </c>
      <c r="I3" s="21" t="s">
        <v>303</v>
      </c>
      <c r="J3" s="21" t="s">
        <v>195</v>
      </c>
      <c r="K3" s="21" t="s">
        <v>214</v>
      </c>
      <c r="L3" s="21" t="s">
        <v>215</v>
      </c>
    </row>
    <row r="4" spans="1:12" ht="18.75" x14ac:dyDescent="0.25">
      <c r="A4" s="119" t="s">
        <v>2</v>
      </c>
      <c r="B4" s="186">
        <v>0.16666666666666669</v>
      </c>
      <c r="C4" s="186">
        <v>0.16666666666666669</v>
      </c>
      <c r="D4" s="186">
        <v>0.16666666666666669</v>
      </c>
      <c r="E4" s="186">
        <v>0.16666666666666669</v>
      </c>
      <c r="F4" s="186">
        <v>0.16666666666666669</v>
      </c>
      <c r="G4" s="186">
        <v>0.16666666666666669</v>
      </c>
      <c r="H4" s="186">
        <v>0.33333333333333337</v>
      </c>
      <c r="I4" s="186">
        <v>0.33333333333333337</v>
      </c>
      <c r="J4" s="186">
        <v>0.33333333333333337</v>
      </c>
      <c r="K4" s="186">
        <v>0.5</v>
      </c>
      <c r="L4" s="186">
        <v>0.5</v>
      </c>
    </row>
    <row r="5" spans="1:12" ht="18.75" x14ac:dyDescent="0.25">
      <c r="A5" s="119" t="s">
        <v>3</v>
      </c>
      <c r="B5" s="187">
        <v>0.16666666666666669</v>
      </c>
      <c r="C5" s="187">
        <v>0.16666666666666669</v>
      </c>
      <c r="D5" s="187">
        <v>0.16666666666666669</v>
      </c>
      <c r="E5" s="187">
        <v>0.16666666666666669</v>
      </c>
      <c r="F5" s="187">
        <v>0.16666666666666669</v>
      </c>
      <c r="G5" s="187">
        <v>0.16666666666666669</v>
      </c>
      <c r="H5" s="187">
        <v>0.33333333333333337</v>
      </c>
      <c r="I5" s="187">
        <v>0.33333333333333337</v>
      </c>
      <c r="J5" s="187">
        <v>0.33333333333333337</v>
      </c>
      <c r="K5" s="187">
        <v>0.5</v>
      </c>
      <c r="L5" s="187">
        <v>0.5</v>
      </c>
    </row>
    <row r="6" spans="1:12" ht="18.75" x14ac:dyDescent="0.25">
      <c r="A6" s="119" t="s">
        <v>4</v>
      </c>
      <c r="B6" s="186">
        <v>0.16666666666666669</v>
      </c>
      <c r="C6" s="186">
        <v>0.16666666666666669</v>
      </c>
      <c r="D6" s="186">
        <v>0.16666666666666669</v>
      </c>
      <c r="E6" s="186">
        <v>0.16666666666666669</v>
      </c>
      <c r="F6" s="186">
        <v>0.16666666666666669</v>
      </c>
      <c r="G6" s="186">
        <v>0.16666666666666669</v>
      </c>
      <c r="H6" s="186">
        <v>0.33333333333333337</v>
      </c>
      <c r="I6" s="186">
        <v>0.33333333333333337</v>
      </c>
      <c r="J6" s="186">
        <v>0.33333333333333337</v>
      </c>
      <c r="K6" s="186">
        <v>0.5</v>
      </c>
      <c r="L6" s="186">
        <v>0.5</v>
      </c>
    </row>
    <row r="7" spans="1:12" ht="18.75" x14ac:dyDescent="0.25">
      <c r="A7" s="119" t="s">
        <v>5</v>
      </c>
      <c r="B7" s="187">
        <v>0.16666666666666669</v>
      </c>
      <c r="C7" s="187">
        <v>0.16666666666666669</v>
      </c>
      <c r="D7" s="187">
        <v>0.16666666666666669</v>
      </c>
      <c r="E7" s="187">
        <v>0.16666666666666669</v>
      </c>
      <c r="F7" s="187">
        <v>0.16666666666666669</v>
      </c>
      <c r="G7" s="187">
        <v>0.16666666666666669</v>
      </c>
      <c r="H7" s="187">
        <v>0.33333333333333337</v>
      </c>
      <c r="I7" s="187">
        <v>0.33333333333333337</v>
      </c>
      <c r="J7" s="187">
        <v>0.33333333333333337</v>
      </c>
      <c r="K7" s="187">
        <v>0.5</v>
      </c>
      <c r="L7" s="187">
        <v>0.5</v>
      </c>
    </row>
    <row r="8" spans="1:12" ht="18.75" x14ac:dyDescent="0.25">
      <c r="A8" s="119" t="s">
        <v>6</v>
      </c>
      <c r="B8" s="186">
        <v>0.16666666666666669</v>
      </c>
      <c r="C8" s="186">
        <v>0.16666666666666669</v>
      </c>
      <c r="D8" s="186">
        <v>0.16666666666666669</v>
      </c>
      <c r="E8" s="186">
        <v>0.16666666666666669</v>
      </c>
      <c r="F8" s="186">
        <v>0.16666666666666669</v>
      </c>
      <c r="G8" s="186">
        <v>0.16666666666666669</v>
      </c>
      <c r="H8" s="186">
        <v>0.33333333333333337</v>
      </c>
      <c r="I8" s="186">
        <v>0.33333333333333337</v>
      </c>
      <c r="J8" s="186">
        <v>0.33333333333333337</v>
      </c>
      <c r="K8" s="186">
        <v>0.5</v>
      </c>
      <c r="L8" s="186">
        <v>0.5</v>
      </c>
    </row>
    <row r="9" spans="1:12" ht="18.75" x14ac:dyDescent="0.25">
      <c r="A9" s="119" t="s">
        <v>7</v>
      </c>
      <c r="B9" s="187">
        <v>0.16666666666666669</v>
      </c>
      <c r="C9" s="187">
        <v>0.16666666666666669</v>
      </c>
      <c r="D9" s="187">
        <v>0.16666666666666669</v>
      </c>
      <c r="E9" s="187">
        <v>0.16666666666666669</v>
      </c>
      <c r="F9" s="187">
        <v>0.16666666666666669</v>
      </c>
      <c r="G9" s="187">
        <v>0.16666666666666669</v>
      </c>
      <c r="H9" s="187">
        <v>0.33333333333333337</v>
      </c>
      <c r="I9" s="187">
        <v>0.33333333333333337</v>
      </c>
      <c r="J9" s="187">
        <v>0.33333333333333337</v>
      </c>
      <c r="K9" s="187">
        <v>0.5</v>
      </c>
      <c r="L9" s="187">
        <v>0.5</v>
      </c>
    </row>
    <row r="10" spans="1:12" ht="18.75" x14ac:dyDescent="0.25">
      <c r="A10" s="119" t="s">
        <v>8</v>
      </c>
      <c r="B10" s="186">
        <v>0.16666666666666669</v>
      </c>
      <c r="C10" s="186">
        <v>0.16666666666666669</v>
      </c>
      <c r="D10" s="186">
        <v>0.16666666666666669</v>
      </c>
      <c r="E10" s="186">
        <v>0.16666666666666669</v>
      </c>
      <c r="F10" s="186">
        <v>0.16666666666666669</v>
      </c>
      <c r="G10" s="186">
        <v>0.16666666666666669</v>
      </c>
      <c r="H10" s="186">
        <v>0.33333333333333337</v>
      </c>
      <c r="I10" s="186">
        <v>0.33333333333333337</v>
      </c>
      <c r="J10" s="186">
        <v>0.33333333333333337</v>
      </c>
      <c r="K10" s="186">
        <v>0.5</v>
      </c>
      <c r="L10" s="186">
        <v>0.5</v>
      </c>
    </row>
    <row r="11" spans="1:12" ht="18.75" x14ac:dyDescent="0.25">
      <c r="A11" s="119" t="s">
        <v>9</v>
      </c>
      <c r="B11" s="187">
        <v>0.16666666666666669</v>
      </c>
      <c r="C11" s="187">
        <v>0.16666666666666669</v>
      </c>
      <c r="D11" s="187">
        <v>0.16666666666666669</v>
      </c>
      <c r="E11" s="187">
        <v>0.16666666666666669</v>
      </c>
      <c r="F11" s="187">
        <v>0.16666666666666669</v>
      </c>
      <c r="G11" s="187">
        <v>0.16666666666666669</v>
      </c>
      <c r="H11" s="187">
        <v>0.33333333333333337</v>
      </c>
      <c r="I11" s="187">
        <v>0.33333333333333337</v>
      </c>
      <c r="J11" s="187">
        <v>0.33333333333333337</v>
      </c>
      <c r="K11" s="187">
        <v>0.5</v>
      </c>
      <c r="L11" s="187">
        <v>0.5</v>
      </c>
    </row>
    <row r="12" spans="1:12" ht="18.75" x14ac:dyDescent="0.25">
      <c r="A12" s="119" t="s">
        <v>10</v>
      </c>
      <c r="B12" s="186">
        <v>0.16666666666666669</v>
      </c>
      <c r="C12" s="186">
        <v>0.16666666666666669</v>
      </c>
      <c r="D12" s="186">
        <v>0.16666666666666669</v>
      </c>
      <c r="E12" s="186">
        <v>0.16666666666666669</v>
      </c>
      <c r="F12" s="186">
        <v>0.16666666666666669</v>
      </c>
      <c r="G12" s="186">
        <v>0.16666666666666669</v>
      </c>
      <c r="H12" s="186">
        <v>0.33333333333333337</v>
      </c>
      <c r="I12" s="186">
        <v>0.33333333333333337</v>
      </c>
      <c r="J12" s="186">
        <v>0.33333333333333337</v>
      </c>
      <c r="K12" s="186">
        <v>0.5</v>
      </c>
      <c r="L12" s="186">
        <v>0.5</v>
      </c>
    </row>
    <row r="13" spans="1:12" ht="18.75" x14ac:dyDescent="0.25">
      <c r="A13" s="119" t="s">
        <v>11</v>
      </c>
      <c r="B13" s="187">
        <v>0.16666666666666669</v>
      </c>
      <c r="C13" s="187">
        <v>0.16666666666666669</v>
      </c>
      <c r="D13" s="187">
        <v>0.16666666666666669</v>
      </c>
      <c r="E13" s="187">
        <v>0.16666666666666669</v>
      </c>
      <c r="F13" s="187">
        <v>0.16666666666666669</v>
      </c>
      <c r="G13" s="187">
        <v>0.16666666666666669</v>
      </c>
      <c r="H13" s="187">
        <v>0.33333333333333337</v>
      </c>
      <c r="I13" s="187">
        <v>0.33333333333333337</v>
      </c>
      <c r="J13" s="187">
        <v>0.33333333333333337</v>
      </c>
      <c r="K13" s="187">
        <v>0.5</v>
      </c>
      <c r="L13" s="187">
        <v>0.5</v>
      </c>
    </row>
    <row r="14" spans="1:12" ht="18.75" x14ac:dyDescent="0.25">
      <c r="A14" s="119" t="s">
        <v>12</v>
      </c>
      <c r="B14" s="186">
        <v>0.16666666666666669</v>
      </c>
      <c r="C14" s="186">
        <v>0.16666666666666669</v>
      </c>
      <c r="D14" s="186">
        <v>0.16666666666666669</v>
      </c>
      <c r="E14" s="186">
        <v>0.16666666666666669</v>
      </c>
      <c r="F14" s="186">
        <v>0.16666666666666669</v>
      </c>
      <c r="G14" s="186">
        <v>0.16666666666666669</v>
      </c>
      <c r="H14" s="186">
        <v>0.33333333333333337</v>
      </c>
      <c r="I14" s="186">
        <v>0.33333333333333337</v>
      </c>
      <c r="J14" s="186">
        <v>0.33333333333333337</v>
      </c>
      <c r="K14" s="186">
        <v>0.5</v>
      </c>
      <c r="L14" s="186">
        <v>0.5</v>
      </c>
    </row>
    <row r="15" spans="1:12" ht="18.75" x14ac:dyDescent="0.25">
      <c r="A15" s="119" t="s">
        <v>13</v>
      </c>
      <c r="B15" s="187">
        <v>0.16666666666666669</v>
      </c>
      <c r="C15" s="187">
        <v>0.16666666666666669</v>
      </c>
      <c r="D15" s="187">
        <v>0.16666666666666669</v>
      </c>
      <c r="E15" s="187">
        <v>0.16666666666666669</v>
      </c>
      <c r="F15" s="187">
        <v>0.16666666666666669</v>
      </c>
      <c r="G15" s="187">
        <v>0.16666666666666669</v>
      </c>
      <c r="H15" s="187">
        <v>0.33333333333333337</v>
      </c>
      <c r="I15" s="187">
        <v>0.33333333333333337</v>
      </c>
      <c r="J15" s="187">
        <v>0.33333333333333337</v>
      </c>
      <c r="K15" s="187">
        <v>0.5</v>
      </c>
      <c r="L15" s="187">
        <v>0.5</v>
      </c>
    </row>
    <row r="16" spans="1:12" ht="18.75" x14ac:dyDescent="0.25">
      <c r="A16" s="119" t="s">
        <v>14</v>
      </c>
      <c r="B16" s="186">
        <v>0.16666666666666669</v>
      </c>
      <c r="C16" s="186">
        <v>0.16666666666666669</v>
      </c>
      <c r="D16" s="186">
        <v>0.16666666666666669</v>
      </c>
      <c r="E16" s="186">
        <v>0.16666666666666669</v>
      </c>
      <c r="F16" s="186">
        <v>0.16666666666666669</v>
      </c>
      <c r="G16" s="186">
        <v>0.16666666666666669</v>
      </c>
      <c r="H16" s="186">
        <v>0.33333333333333337</v>
      </c>
      <c r="I16" s="186">
        <v>0.33333333333333337</v>
      </c>
      <c r="J16" s="186">
        <v>0.33333333333333337</v>
      </c>
      <c r="K16" s="186">
        <v>0.5</v>
      </c>
      <c r="L16" s="186">
        <v>0.5</v>
      </c>
    </row>
    <row r="17" spans="1:12" ht="18.75" x14ac:dyDescent="0.25">
      <c r="A17" s="119" t="s">
        <v>15</v>
      </c>
      <c r="B17" s="187">
        <v>0.16666666666666669</v>
      </c>
      <c r="C17" s="187">
        <v>0.16666666666666669</v>
      </c>
      <c r="D17" s="187">
        <v>0.16666666666666669</v>
      </c>
      <c r="E17" s="187">
        <v>0.16666666666666669</v>
      </c>
      <c r="F17" s="187">
        <v>0.16666666666666669</v>
      </c>
      <c r="G17" s="187">
        <v>0.16666666666666669</v>
      </c>
      <c r="H17" s="187">
        <v>0.33333333333333337</v>
      </c>
      <c r="I17" s="187">
        <v>0.33333333333333337</v>
      </c>
      <c r="J17" s="187">
        <v>0.33333333333333337</v>
      </c>
      <c r="K17" s="187">
        <v>0.5</v>
      </c>
      <c r="L17" s="187">
        <v>0.5</v>
      </c>
    </row>
    <row r="18" spans="1:12" ht="18.75" x14ac:dyDescent="0.25">
      <c r="A18" s="119" t="s">
        <v>16</v>
      </c>
      <c r="B18" s="186">
        <v>0.16666666666666669</v>
      </c>
      <c r="C18" s="186">
        <v>0.16666666666666669</v>
      </c>
      <c r="D18" s="186">
        <v>0.16666666666666669</v>
      </c>
      <c r="E18" s="186">
        <v>0.16666666666666669</v>
      </c>
      <c r="F18" s="186">
        <v>0.16666666666666669</v>
      </c>
      <c r="G18" s="186">
        <v>0.16666666666666669</v>
      </c>
      <c r="H18" s="186">
        <v>0.33333333333333337</v>
      </c>
      <c r="I18" s="186">
        <v>0.33333333333333337</v>
      </c>
      <c r="J18" s="186">
        <v>0.33333333333333337</v>
      </c>
      <c r="K18" s="186">
        <v>0.5</v>
      </c>
      <c r="L18" s="186">
        <v>0.5</v>
      </c>
    </row>
    <row r="19" spans="1:12" ht="18.75" x14ac:dyDescent="0.25">
      <c r="A19" s="119" t="s">
        <v>17</v>
      </c>
      <c r="B19" s="187">
        <v>0.16666666666666669</v>
      </c>
      <c r="C19" s="187">
        <v>0.16666666666666669</v>
      </c>
      <c r="D19" s="187">
        <v>0.16666666666666669</v>
      </c>
      <c r="E19" s="187">
        <v>0.16666666666666669</v>
      </c>
      <c r="F19" s="187">
        <v>0.16666666666666669</v>
      </c>
      <c r="G19" s="187">
        <v>0.16666666666666669</v>
      </c>
      <c r="H19" s="187">
        <v>0.33333333333333337</v>
      </c>
      <c r="I19" s="187">
        <v>0.33333333333333337</v>
      </c>
      <c r="J19" s="187">
        <v>0.33333333333333337</v>
      </c>
      <c r="K19" s="187">
        <v>0.5</v>
      </c>
      <c r="L19" s="187">
        <v>0.5</v>
      </c>
    </row>
    <row r="20" spans="1:12" ht="18.75" x14ac:dyDescent="0.25">
      <c r="A20" s="119" t="s">
        <v>18</v>
      </c>
      <c r="B20" s="186">
        <v>0.16666666666666669</v>
      </c>
      <c r="C20" s="186">
        <v>0.16666666666666669</v>
      </c>
      <c r="D20" s="186">
        <v>0.16666666666666669</v>
      </c>
      <c r="E20" s="186">
        <v>0.16666666666666669</v>
      </c>
      <c r="F20" s="186">
        <v>0.16666666666666669</v>
      </c>
      <c r="G20" s="186">
        <v>0.16666666666666669</v>
      </c>
      <c r="H20" s="186">
        <v>0.33333333333333337</v>
      </c>
      <c r="I20" s="186">
        <v>0.33333333333333337</v>
      </c>
      <c r="J20" s="186">
        <v>0.33333333333333337</v>
      </c>
      <c r="K20" s="186">
        <v>0.5</v>
      </c>
      <c r="L20" s="186">
        <v>0.5</v>
      </c>
    </row>
    <row r="21" spans="1:12" ht="18.75" x14ac:dyDescent="0.25">
      <c r="A21" s="119" t="s">
        <v>19</v>
      </c>
      <c r="B21" s="187">
        <v>0.16666666666666669</v>
      </c>
      <c r="C21" s="187">
        <v>0.16666666666666669</v>
      </c>
      <c r="D21" s="187">
        <v>0.16666666666666669</v>
      </c>
      <c r="E21" s="187">
        <v>0.16666666666666669</v>
      </c>
      <c r="F21" s="187">
        <v>0.16666666666666669</v>
      </c>
      <c r="G21" s="187">
        <v>0.16666666666666669</v>
      </c>
      <c r="H21" s="187">
        <v>0.33333333333333337</v>
      </c>
      <c r="I21" s="187">
        <v>0.33333333333333337</v>
      </c>
      <c r="J21" s="187">
        <v>0.33333333333333337</v>
      </c>
      <c r="K21" s="187">
        <v>0.5</v>
      </c>
      <c r="L21" s="187">
        <v>0.5</v>
      </c>
    </row>
    <row r="22" spans="1:12" ht="18.75" x14ac:dyDescent="0.25">
      <c r="A22" s="119" t="s">
        <v>20</v>
      </c>
      <c r="B22" s="186">
        <v>0.16666666666666669</v>
      </c>
      <c r="C22" s="186">
        <v>0.16666666666666669</v>
      </c>
      <c r="D22" s="186">
        <v>0.16666666666666669</v>
      </c>
      <c r="E22" s="186">
        <v>0.16666666666666669</v>
      </c>
      <c r="F22" s="186">
        <v>0.16666666666666669</v>
      </c>
      <c r="G22" s="186">
        <v>0.16666666666666669</v>
      </c>
      <c r="H22" s="186">
        <v>0.33333333333333337</v>
      </c>
      <c r="I22" s="186">
        <v>0.33333333333333337</v>
      </c>
      <c r="J22" s="186">
        <v>0.33333333333333337</v>
      </c>
      <c r="K22" s="186">
        <v>0.5</v>
      </c>
      <c r="L22" s="186">
        <v>0.5</v>
      </c>
    </row>
    <row r="23" spans="1:12" ht="18.75" x14ac:dyDescent="0.25">
      <c r="A23" s="119" t="s">
        <v>21</v>
      </c>
      <c r="B23" s="187">
        <v>0.16666666666666669</v>
      </c>
      <c r="C23" s="187">
        <v>0.16666666666666669</v>
      </c>
      <c r="D23" s="187">
        <v>0.16666666666666669</v>
      </c>
      <c r="E23" s="187">
        <v>0.16666666666666669</v>
      </c>
      <c r="F23" s="187">
        <v>0.16666666666666669</v>
      </c>
      <c r="G23" s="187">
        <v>0.16666666666666669</v>
      </c>
      <c r="H23" s="187">
        <v>0.33333333333333337</v>
      </c>
      <c r="I23" s="187">
        <v>0.33333333333333337</v>
      </c>
      <c r="J23" s="187">
        <v>0.33333333333333337</v>
      </c>
      <c r="K23" s="187">
        <v>0.5</v>
      </c>
      <c r="L23" s="187">
        <v>0.5</v>
      </c>
    </row>
    <row r="24" spans="1:12" ht="18.75" x14ac:dyDescent="0.25">
      <c r="A24" s="119" t="s">
        <v>22</v>
      </c>
      <c r="B24" s="186">
        <v>0.16666666666666669</v>
      </c>
      <c r="C24" s="186">
        <v>0.16666666666666669</v>
      </c>
      <c r="D24" s="186">
        <v>0.16666666666666669</v>
      </c>
      <c r="E24" s="186">
        <v>0.16666666666666669</v>
      </c>
      <c r="F24" s="186">
        <v>0.16666666666666669</v>
      </c>
      <c r="G24" s="186">
        <v>0.16666666666666669</v>
      </c>
      <c r="H24" s="186">
        <v>0.33333333333333337</v>
      </c>
      <c r="I24" s="186">
        <v>0.33333333333333337</v>
      </c>
      <c r="J24" s="186">
        <v>0.33333333333333337</v>
      </c>
      <c r="K24" s="186">
        <v>0.5</v>
      </c>
      <c r="L24" s="186">
        <v>0.5</v>
      </c>
    </row>
    <row r="25" spans="1:12" ht="18.75" x14ac:dyDescent="0.25">
      <c r="A25" s="119" t="s">
        <v>23</v>
      </c>
      <c r="B25" s="187">
        <v>0.16666666666666669</v>
      </c>
      <c r="C25" s="187">
        <v>0.16666666666666669</v>
      </c>
      <c r="D25" s="187">
        <v>0.16666666666666669</v>
      </c>
      <c r="E25" s="187">
        <v>0.16666666666666669</v>
      </c>
      <c r="F25" s="187">
        <v>0.16666666666666669</v>
      </c>
      <c r="G25" s="187">
        <v>0.16666666666666669</v>
      </c>
      <c r="H25" s="187">
        <v>0.33333333333333337</v>
      </c>
      <c r="I25" s="187">
        <v>0.33333333333333337</v>
      </c>
      <c r="J25" s="187">
        <v>0.33333333333333337</v>
      </c>
      <c r="K25" s="187">
        <v>0.5</v>
      </c>
      <c r="L25" s="187">
        <v>0.5</v>
      </c>
    </row>
    <row r="26" spans="1:12" ht="18.75" x14ac:dyDescent="0.25">
      <c r="A26" s="119" t="s">
        <v>24</v>
      </c>
      <c r="B26" s="186">
        <v>0.16666666666666669</v>
      </c>
      <c r="C26" s="186">
        <v>0.16666666666666669</v>
      </c>
      <c r="D26" s="186">
        <v>0.16666666666666669</v>
      </c>
      <c r="E26" s="186">
        <v>0.16666666666666669</v>
      </c>
      <c r="F26" s="186">
        <v>0.16666666666666669</v>
      </c>
      <c r="G26" s="186">
        <v>0.16666666666666669</v>
      </c>
      <c r="H26" s="186">
        <v>0.33333333333333337</v>
      </c>
      <c r="I26" s="186">
        <v>0.33333333333333337</v>
      </c>
      <c r="J26" s="186">
        <v>0.33333333333333337</v>
      </c>
      <c r="K26" s="186">
        <v>0.5</v>
      </c>
      <c r="L26" s="186">
        <v>0.5</v>
      </c>
    </row>
    <row r="27" spans="1:12" ht="18.75" x14ac:dyDescent="0.25">
      <c r="A27" s="119" t="s">
        <v>25</v>
      </c>
      <c r="B27" s="187">
        <v>0.16666666666666669</v>
      </c>
      <c r="C27" s="187">
        <v>0.16666666666666669</v>
      </c>
      <c r="D27" s="187">
        <v>0.16666666666666669</v>
      </c>
      <c r="E27" s="187">
        <v>0.16666666666666669</v>
      </c>
      <c r="F27" s="187">
        <v>0.16666666666666669</v>
      </c>
      <c r="G27" s="187">
        <v>0.16666666666666669</v>
      </c>
      <c r="H27" s="187">
        <v>0.33333333333333337</v>
      </c>
      <c r="I27" s="187">
        <v>0.33333333333333337</v>
      </c>
      <c r="J27" s="187">
        <v>0.33333333333333337</v>
      </c>
      <c r="K27" s="187">
        <v>0.5</v>
      </c>
      <c r="L27" s="187">
        <v>0.5</v>
      </c>
    </row>
    <row r="28" spans="1:12" ht="18.75" x14ac:dyDescent="0.25">
      <c r="A28" s="119" t="s">
        <v>41</v>
      </c>
      <c r="B28" s="186">
        <v>0.16666666666666669</v>
      </c>
      <c r="C28" s="186">
        <v>0.16666666666666669</v>
      </c>
      <c r="D28" s="186">
        <v>0.16666666666666669</v>
      </c>
      <c r="E28" s="186">
        <v>0.16666666666666669</v>
      </c>
      <c r="F28" s="186">
        <v>0.16666666666666669</v>
      </c>
      <c r="G28" s="186">
        <v>0.16666666666666669</v>
      </c>
      <c r="H28" s="186">
        <v>0.33333333333333337</v>
      </c>
      <c r="I28" s="186">
        <v>0.33333333333333337</v>
      </c>
      <c r="J28" s="186">
        <v>0.33333333333333337</v>
      </c>
      <c r="K28" s="186">
        <v>0.5</v>
      </c>
      <c r="L28" s="186">
        <v>0.5</v>
      </c>
    </row>
    <row r="29" spans="1:12" ht="18.75" x14ac:dyDescent="0.25">
      <c r="A29" s="119" t="s">
        <v>27</v>
      </c>
      <c r="B29" s="187">
        <v>0.16666666666666669</v>
      </c>
      <c r="C29" s="187">
        <v>0.16666666666666669</v>
      </c>
      <c r="D29" s="187">
        <v>0.16666666666666669</v>
      </c>
      <c r="E29" s="187">
        <v>0.16666666666666669</v>
      </c>
      <c r="F29" s="187">
        <v>0.16666666666666669</v>
      </c>
      <c r="G29" s="187">
        <v>0.16666666666666669</v>
      </c>
      <c r="H29" s="187">
        <v>0.33333333333333337</v>
      </c>
      <c r="I29" s="187">
        <v>0.33333333333333337</v>
      </c>
      <c r="J29" s="187">
        <v>0.33333333333333337</v>
      </c>
      <c r="K29" s="187">
        <v>0.5</v>
      </c>
      <c r="L29" s="187">
        <v>0.5</v>
      </c>
    </row>
    <row r="30" spans="1:12" ht="18.75" x14ac:dyDescent="0.25">
      <c r="A30" s="184" t="s">
        <v>28</v>
      </c>
      <c r="B30" s="184">
        <f>AVERAGE(B4:B29)</f>
        <v>0.16666666666666663</v>
      </c>
      <c r="C30" s="184">
        <f t="shared" ref="C30:H30" si="0">AVERAGE(C4:C29)</f>
        <v>0.16666666666666663</v>
      </c>
      <c r="D30" s="184">
        <f t="shared" si="0"/>
        <v>0.16666666666666663</v>
      </c>
      <c r="E30" s="184">
        <f t="shared" si="0"/>
        <v>0.16666666666666663</v>
      </c>
      <c r="F30" s="184">
        <f t="shared" si="0"/>
        <v>0.16666666666666663</v>
      </c>
      <c r="G30" s="184">
        <f t="shared" si="0"/>
        <v>0.16666666666666663</v>
      </c>
      <c r="H30" s="184">
        <f t="shared" si="0"/>
        <v>0.33333333333333326</v>
      </c>
      <c r="I30" s="184">
        <f t="shared" ref="I30" si="1">AVERAGE(I4:I29)</f>
        <v>0.33333333333333326</v>
      </c>
      <c r="J30" s="184">
        <f t="shared" ref="J30" si="2">AVERAGE(J4:J29)</f>
        <v>0.33333333333333326</v>
      </c>
      <c r="K30" s="184">
        <f t="shared" ref="K30" si="3">AVERAGE(K4:K29)</f>
        <v>0.5</v>
      </c>
      <c r="L30" s="184">
        <f t="shared" ref="L30" si="4">AVERAGE(L4:L29)</f>
        <v>0.5</v>
      </c>
    </row>
    <row r="33" spans="1:12" x14ac:dyDescent="0.25">
      <c r="A33" s="227" t="s">
        <v>334</v>
      </c>
      <c r="B33" s="266" t="s">
        <v>337</v>
      </c>
      <c r="C33" s="266"/>
      <c r="D33" s="266"/>
      <c r="E33" s="266"/>
      <c r="F33" s="266"/>
      <c r="G33" s="266"/>
      <c r="H33" s="266"/>
      <c r="I33" s="266"/>
      <c r="J33" s="266"/>
      <c r="K33" s="266"/>
      <c r="L33" s="266"/>
    </row>
  </sheetData>
  <mergeCells count="5">
    <mergeCell ref="A1:A3"/>
    <mergeCell ref="H1:J2"/>
    <mergeCell ref="B1:G2"/>
    <mergeCell ref="K1:L2"/>
    <mergeCell ref="B33:L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5"/>
  <sheetViews>
    <sheetView showGridLines="0" zoomScale="60" zoomScaleNormal="60" workbookViewId="0">
      <selection activeCell="F47" sqref="F47"/>
    </sheetView>
  </sheetViews>
  <sheetFormatPr defaultColWidth="30.28515625" defaultRowHeight="18.75" x14ac:dyDescent="0.3"/>
  <cols>
    <col min="1" max="1" width="19.7109375" style="129" bestFit="1" customWidth="1"/>
    <col min="2" max="16384" width="30.28515625" style="129"/>
  </cols>
  <sheetData>
    <row r="1" spans="1:9" s="190" customFormat="1" x14ac:dyDescent="0.3">
      <c r="A1" s="256" t="s">
        <v>29</v>
      </c>
      <c r="B1" s="267" t="s">
        <v>341</v>
      </c>
      <c r="C1" s="268"/>
      <c r="D1" s="268"/>
      <c r="E1" s="269"/>
      <c r="F1" s="267" t="s">
        <v>342</v>
      </c>
      <c r="G1" s="268"/>
      <c r="H1" s="268"/>
      <c r="I1" s="269"/>
    </row>
    <row r="2" spans="1:9" s="191" customFormat="1" ht="15" customHeight="1" x14ac:dyDescent="0.3">
      <c r="A2" s="257"/>
      <c r="B2" s="252"/>
      <c r="C2" s="253"/>
      <c r="D2" s="253"/>
      <c r="E2" s="270"/>
      <c r="F2" s="252"/>
      <c r="G2" s="253"/>
      <c r="H2" s="253"/>
      <c r="I2" s="270"/>
    </row>
    <row r="3" spans="1:9" s="191" customFormat="1" ht="15" customHeight="1" x14ac:dyDescent="0.3">
      <c r="A3" s="257"/>
      <c r="B3" s="271"/>
      <c r="C3" s="272"/>
      <c r="D3" s="272"/>
      <c r="E3" s="273"/>
      <c r="F3" s="271"/>
      <c r="G3" s="272"/>
      <c r="H3" s="272"/>
      <c r="I3" s="273"/>
    </row>
    <row r="4" spans="1:9" s="191" customFormat="1" x14ac:dyDescent="0.3">
      <c r="A4" s="258"/>
      <c r="B4" s="180" t="s">
        <v>202</v>
      </c>
      <c r="C4" s="180" t="s">
        <v>205</v>
      </c>
      <c r="D4" s="180" t="s">
        <v>203</v>
      </c>
      <c r="E4" s="180" t="s">
        <v>204</v>
      </c>
      <c r="F4" s="180" t="s">
        <v>202</v>
      </c>
      <c r="G4" s="180" t="s">
        <v>205</v>
      </c>
      <c r="H4" s="180" t="s">
        <v>203</v>
      </c>
      <c r="I4" s="180" t="s">
        <v>204</v>
      </c>
    </row>
    <row r="5" spans="1:9" s="191" customFormat="1" ht="20.100000000000001" customHeight="1" x14ac:dyDescent="0.3">
      <c r="A5" s="181" t="s">
        <v>2</v>
      </c>
      <c r="B5" s="127">
        <v>0.31306352459016396</v>
      </c>
      <c r="C5" s="127">
        <v>9.2930327868852455E-2</v>
      </c>
      <c r="D5" s="127">
        <v>0.32827868852459013</v>
      </c>
      <c r="E5" s="127">
        <v>0.26572745901639344</v>
      </c>
      <c r="F5" s="127">
        <v>0.31306352459016396</v>
      </c>
      <c r="G5" s="127">
        <v>9.2930327868852455E-2</v>
      </c>
      <c r="H5" s="127">
        <v>0.32827868852459013</v>
      </c>
      <c r="I5" s="127">
        <v>0.26572745901639344</v>
      </c>
    </row>
    <row r="6" spans="1:9" s="191" customFormat="1" ht="20.100000000000001" customHeight="1" x14ac:dyDescent="0.3">
      <c r="A6" s="181" t="s">
        <v>3</v>
      </c>
      <c r="B6" s="128">
        <v>4.5619335347432025E-2</v>
      </c>
      <c r="C6" s="128">
        <v>0.14471299093655587</v>
      </c>
      <c r="D6" s="128">
        <v>0.43776435045317225</v>
      </c>
      <c r="E6" s="128">
        <v>0.37190332326283987</v>
      </c>
      <c r="F6" s="128">
        <v>4.5619335347432025E-2</v>
      </c>
      <c r="G6" s="128">
        <v>0.14471299093655587</v>
      </c>
      <c r="H6" s="128">
        <v>0.43776435045317225</v>
      </c>
      <c r="I6" s="128">
        <v>0.37190332326283987</v>
      </c>
    </row>
    <row r="7" spans="1:9" s="191" customFormat="1" ht="20.100000000000001" customHeight="1" x14ac:dyDescent="0.3">
      <c r="A7" s="181" t="s">
        <v>4</v>
      </c>
      <c r="B7" s="127">
        <v>2.0384878679546668E-2</v>
      </c>
      <c r="C7" s="127">
        <v>2.1449760401612537E-2</v>
      </c>
      <c r="D7" s="127">
        <v>0.40374229862326005</v>
      </c>
      <c r="E7" s="127">
        <v>0.5544230622955808</v>
      </c>
      <c r="F7" s="127">
        <v>1.9915285724901543E-2</v>
      </c>
      <c r="G7" s="127">
        <v>2.0955636471724756E-2</v>
      </c>
      <c r="H7" s="127">
        <v>0.41747789254662998</v>
      </c>
      <c r="I7" s="127">
        <v>0.54165118525674372</v>
      </c>
    </row>
    <row r="8" spans="1:9" s="191" customFormat="1" ht="20.100000000000001" customHeight="1" x14ac:dyDescent="0.3">
      <c r="A8" s="181" t="s">
        <v>5</v>
      </c>
      <c r="B8" s="128">
        <v>0.22608356110894184</v>
      </c>
      <c r="C8" s="128">
        <v>0.30964467005076146</v>
      </c>
      <c r="D8" s="128">
        <v>0.41585318235064433</v>
      </c>
      <c r="E8" s="128">
        <v>4.8418586489652485E-2</v>
      </c>
      <c r="F8" s="128">
        <v>0.22608356110894184</v>
      </c>
      <c r="G8" s="128">
        <v>0.30964467005076146</v>
      </c>
      <c r="H8" s="128">
        <v>0.41585318235064422</v>
      </c>
      <c r="I8" s="128">
        <v>4.8418586489652485E-2</v>
      </c>
    </row>
    <row r="9" spans="1:9" s="191" customFormat="1" ht="20.100000000000001" customHeight="1" x14ac:dyDescent="0.3">
      <c r="A9" s="181" t="s">
        <v>6</v>
      </c>
      <c r="B9" s="127">
        <v>0.10461114934618032</v>
      </c>
      <c r="C9" s="127">
        <v>9.2616261921148357E-2</v>
      </c>
      <c r="D9" s="127">
        <v>0.1057909743388064</v>
      </c>
      <c r="E9" s="127">
        <v>0.69698161439386486</v>
      </c>
      <c r="F9" s="127">
        <v>0.10338085434901183</v>
      </c>
      <c r="G9" s="127">
        <v>9.1527034583429645E-2</v>
      </c>
      <c r="H9" s="127">
        <v>0.10454680383415105</v>
      </c>
      <c r="I9" s="127">
        <v>0.70054530723340747</v>
      </c>
    </row>
    <row r="10" spans="1:9" s="191" customFormat="1" ht="20.100000000000001" customHeight="1" x14ac:dyDescent="0.3">
      <c r="A10" s="181" t="s">
        <v>7</v>
      </c>
      <c r="B10" s="128">
        <v>0.17934179711574019</v>
      </c>
      <c r="C10" s="128">
        <v>8.0734623443855541E-2</v>
      </c>
      <c r="D10" s="128">
        <v>0.35461604831751509</v>
      </c>
      <c r="E10" s="128">
        <v>0.38530753112288924</v>
      </c>
      <c r="F10" s="128">
        <v>8.807305830319602E-2</v>
      </c>
      <c r="G10" s="128">
        <v>3.9648009064325355E-2</v>
      </c>
      <c r="H10" s="128">
        <v>0.68305805273159159</v>
      </c>
      <c r="I10" s="128">
        <v>0.18922087990088712</v>
      </c>
    </row>
    <row r="11" spans="1:9" s="191" customFormat="1" ht="20.100000000000001" customHeight="1" x14ac:dyDescent="0.3">
      <c r="A11" s="181" t="s">
        <v>8</v>
      </c>
      <c r="B11" s="127">
        <v>0.10090449179825234</v>
      </c>
      <c r="C11" s="127">
        <v>4.5377893607235938E-2</v>
      </c>
      <c r="D11" s="127">
        <v>0.16900199294803006</v>
      </c>
      <c r="E11" s="127">
        <v>0.68471562164648159</v>
      </c>
      <c r="F11" s="127">
        <v>9.6570733479860282E-2</v>
      </c>
      <c r="G11" s="127">
        <v>4.3428953372893708E-2</v>
      </c>
      <c r="H11" s="127">
        <v>0.20469261941517694</v>
      </c>
      <c r="I11" s="127">
        <v>0.6553076937320691</v>
      </c>
    </row>
    <row r="12" spans="1:9" s="191" customFormat="1" ht="20.100000000000001" customHeight="1" x14ac:dyDescent="0.3">
      <c r="A12" s="181" t="s">
        <v>9</v>
      </c>
      <c r="B12" s="128">
        <v>0.31235841335262565</v>
      </c>
      <c r="C12" s="128">
        <v>0.11951739962876894</v>
      </c>
      <c r="D12" s="128">
        <v>0.15276559828122943</v>
      </c>
      <c r="E12" s="128">
        <v>0.41535858873737597</v>
      </c>
      <c r="F12" s="128">
        <v>0.30867833541114731</v>
      </c>
      <c r="G12" s="128">
        <v>0.11810929494134965</v>
      </c>
      <c r="H12" s="128">
        <v>0.16274736441828236</v>
      </c>
      <c r="I12" s="128">
        <v>0.41046500522922064</v>
      </c>
    </row>
    <row r="13" spans="1:9" s="191" customFormat="1" ht="20.100000000000001" customHeight="1" x14ac:dyDescent="0.3">
      <c r="A13" s="181" t="s">
        <v>10</v>
      </c>
      <c r="B13" s="127">
        <v>0.16461414486158513</v>
      </c>
      <c r="C13" s="127">
        <v>0.14251042851725446</v>
      </c>
      <c r="D13" s="127">
        <v>0.30958001516875233</v>
      </c>
      <c r="E13" s="127">
        <v>0.38329541145240803</v>
      </c>
      <c r="F13" s="127">
        <v>0.1612130100557975</v>
      </c>
      <c r="G13" s="127">
        <v>0.139565984228914</v>
      </c>
      <c r="H13" s="127">
        <v>0.32384495845777167</v>
      </c>
      <c r="I13" s="127">
        <v>0.37537604725751683</v>
      </c>
    </row>
    <row r="14" spans="1:9" s="191" customFormat="1" ht="20.100000000000001" customHeight="1" x14ac:dyDescent="0.3">
      <c r="A14" s="181" t="s">
        <v>11</v>
      </c>
      <c r="B14" s="128">
        <v>6.3283176488349857E-2</v>
      </c>
      <c r="C14" s="128">
        <v>5.7772633485984597E-2</v>
      </c>
      <c r="D14" s="128">
        <v>0.28050928488752452</v>
      </c>
      <c r="E14" s="128">
        <v>0.59843490513814102</v>
      </c>
      <c r="F14" s="128">
        <v>6.3283176488349857E-2</v>
      </c>
      <c r="G14" s="128">
        <v>5.7772633485984597E-2</v>
      </c>
      <c r="H14" s="128">
        <v>0.28050928488752452</v>
      </c>
      <c r="I14" s="128">
        <v>0.59843490513814102</v>
      </c>
    </row>
    <row r="15" spans="1:9" s="191" customFormat="1" ht="20.100000000000001" customHeight="1" x14ac:dyDescent="0.3">
      <c r="A15" s="181" t="s">
        <v>12</v>
      </c>
      <c r="B15" s="127">
        <v>0.32300332778702162</v>
      </c>
      <c r="C15" s="127">
        <v>0.12555463117027177</v>
      </c>
      <c r="D15" s="127">
        <v>0.2473655019412091</v>
      </c>
      <c r="E15" s="127">
        <v>0.30407653910149751</v>
      </c>
      <c r="F15" s="127">
        <v>0.25579224772153286</v>
      </c>
      <c r="G15" s="127">
        <v>9.9429010651147468E-2</v>
      </c>
      <c r="H15" s="127">
        <v>0.40397496431316565</v>
      </c>
      <c r="I15" s="127">
        <v>0.24080377731415395</v>
      </c>
    </row>
    <row r="16" spans="1:9" s="191" customFormat="1" ht="20.100000000000001" customHeight="1" x14ac:dyDescent="0.3">
      <c r="A16" s="181" t="s">
        <v>13</v>
      </c>
      <c r="B16" s="128">
        <v>0.30157265453011506</v>
      </c>
      <c r="C16" s="128">
        <v>0.10051542994239311</v>
      </c>
      <c r="D16" s="128">
        <v>0.2747729339959662</v>
      </c>
      <c r="E16" s="128">
        <v>0.32313898153152559</v>
      </c>
      <c r="F16" s="128">
        <v>0.28728471713779286</v>
      </c>
      <c r="G16" s="128">
        <v>9.5753200514738415E-2</v>
      </c>
      <c r="H16" s="128">
        <v>0.29635254419175316</v>
      </c>
      <c r="I16" s="128">
        <v>0.32060953815571558</v>
      </c>
    </row>
    <row r="17" spans="1:9" s="191" customFormat="1" ht="20.100000000000001" customHeight="1" x14ac:dyDescent="0.3">
      <c r="A17" s="181" t="s">
        <v>14</v>
      </c>
      <c r="B17" s="127">
        <v>3.4901635458639488E-2</v>
      </c>
      <c r="C17" s="127">
        <v>5.3093150035553448E-2</v>
      </c>
      <c r="D17" s="127">
        <v>0.54503436833372843</v>
      </c>
      <c r="E17" s="127">
        <v>0.3669708461720787</v>
      </c>
      <c r="F17" s="127">
        <v>2.9813727475197407E-2</v>
      </c>
      <c r="G17" s="127">
        <v>4.5353310386717957E-2</v>
      </c>
      <c r="H17" s="127">
        <v>0.61135857461024501</v>
      </c>
      <c r="I17" s="127">
        <v>0.31347438752783963</v>
      </c>
    </row>
    <row r="18" spans="1:9" s="191" customFormat="1" ht="20.100000000000001" customHeight="1" x14ac:dyDescent="0.3">
      <c r="A18" s="181" t="s">
        <v>15</v>
      </c>
      <c r="B18" s="128">
        <v>0.33678197767609941</v>
      </c>
      <c r="C18" s="128">
        <v>0.18787825799745478</v>
      </c>
      <c r="D18" s="128">
        <v>0.33135157714763108</v>
      </c>
      <c r="E18" s="128">
        <v>0.14398818717881462</v>
      </c>
      <c r="F18" s="128">
        <v>0.27953013815209665</v>
      </c>
      <c r="G18" s="128">
        <v>0.15593956593577793</v>
      </c>
      <c r="H18" s="128">
        <v>0.44501963167737341</v>
      </c>
      <c r="I18" s="128">
        <v>0.11951066423475185</v>
      </c>
    </row>
    <row r="19" spans="1:9" s="191" customFormat="1" ht="20.100000000000001" customHeight="1" x14ac:dyDescent="0.3">
      <c r="A19" s="181" t="s">
        <v>16</v>
      </c>
      <c r="B19" s="127">
        <v>0.38107982728473039</v>
      </c>
      <c r="C19" s="127">
        <v>0.19012953645219996</v>
      </c>
      <c r="D19" s="127">
        <v>0.28337437105234986</v>
      </c>
      <c r="E19" s="127">
        <v>0.14541626521071976</v>
      </c>
      <c r="F19" s="127">
        <v>0.33958879782442181</v>
      </c>
      <c r="G19" s="127">
        <v>0.16942870257594522</v>
      </c>
      <c r="H19" s="127">
        <v>0.36139879783593615</v>
      </c>
      <c r="I19" s="127">
        <v>0.12958370176369685</v>
      </c>
    </row>
    <row r="20" spans="1:9" s="191" customFormat="1" ht="20.100000000000001" customHeight="1" x14ac:dyDescent="0.3">
      <c r="A20" s="181" t="s">
        <v>17</v>
      </c>
      <c r="B20" s="128">
        <v>0.17067379044226771</v>
      </c>
      <c r="C20" s="128">
        <v>9.6616206589492409E-2</v>
      </c>
      <c r="D20" s="128">
        <v>0.61665182546749775</v>
      </c>
      <c r="E20" s="128">
        <v>0.11605817750074206</v>
      </c>
      <c r="F20" s="128">
        <v>0.16929950185336964</v>
      </c>
      <c r="G20" s="128">
        <v>9.5838239744820544E-2</v>
      </c>
      <c r="H20" s="128">
        <v>0.61973859714151835</v>
      </c>
      <c r="I20" s="128">
        <v>0.11512366126029136</v>
      </c>
    </row>
    <row r="21" spans="1:9" s="191" customFormat="1" ht="20.100000000000001" customHeight="1" x14ac:dyDescent="0.3">
      <c r="A21" s="181" t="s">
        <v>18</v>
      </c>
      <c r="B21" s="127">
        <v>0.33446291667365663</v>
      </c>
      <c r="C21" s="127">
        <v>0.18918284151722053</v>
      </c>
      <c r="D21" s="127">
        <v>0.33806975456726329</v>
      </c>
      <c r="E21" s="127">
        <v>0.13828448724185943</v>
      </c>
      <c r="F21" s="127">
        <v>0.3289445461895098</v>
      </c>
      <c r="G21" s="127">
        <v>0.18606147601841311</v>
      </c>
      <c r="H21" s="127">
        <v>0.34899107393291423</v>
      </c>
      <c r="I21" s="127">
        <v>0.1360029038591628</v>
      </c>
    </row>
    <row r="22" spans="1:9" s="191" customFormat="1" ht="20.100000000000001" customHeight="1" x14ac:dyDescent="0.3">
      <c r="A22" s="181" t="s">
        <v>19</v>
      </c>
      <c r="B22" s="128">
        <v>0.32885678262927637</v>
      </c>
      <c r="C22" s="128">
        <v>0.15463302158241252</v>
      </c>
      <c r="D22" s="128">
        <v>0.29010847026705983</v>
      </c>
      <c r="E22" s="128">
        <v>0.22640172552125118</v>
      </c>
      <c r="F22" s="128">
        <v>0.31649930125087333</v>
      </c>
      <c r="G22" s="128">
        <v>0.14882236239693664</v>
      </c>
      <c r="H22" s="128">
        <v>0.31678412916399123</v>
      </c>
      <c r="I22" s="128">
        <v>0.21789420718819885</v>
      </c>
    </row>
    <row r="23" spans="1:9" s="191" customFormat="1" ht="20.100000000000001" customHeight="1" x14ac:dyDescent="0.3">
      <c r="A23" s="181" t="s">
        <v>20</v>
      </c>
      <c r="B23" s="127">
        <v>0.19985748139800805</v>
      </c>
      <c r="C23" s="127">
        <v>6.9999834280695353E-2</v>
      </c>
      <c r="D23" s="127">
        <v>0.45176739638400476</v>
      </c>
      <c r="E23" s="127">
        <v>0.27837528793729183</v>
      </c>
      <c r="F23" s="127">
        <v>0.18928633089008523</v>
      </c>
      <c r="G23" s="127">
        <v>6.6297301963492525E-2</v>
      </c>
      <c r="H23" s="127">
        <v>0.48076530692323383</v>
      </c>
      <c r="I23" s="127">
        <v>0.26365106022318835</v>
      </c>
    </row>
    <row r="24" spans="1:9" s="191" customFormat="1" ht="20.100000000000001" customHeight="1" x14ac:dyDescent="0.3">
      <c r="A24" s="181" t="s">
        <v>21</v>
      </c>
      <c r="B24" s="128">
        <v>0.34840288027450994</v>
      </c>
      <c r="C24" s="128">
        <v>0.19964068777674118</v>
      </c>
      <c r="D24" s="128">
        <v>0.28382777275523735</v>
      </c>
      <c r="E24" s="128">
        <v>0.16812865919351158</v>
      </c>
      <c r="F24" s="128">
        <v>0.33759795759848055</v>
      </c>
      <c r="G24" s="128">
        <v>0.19344928605033351</v>
      </c>
      <c r="H24" s="128">
        <v>0.3060382250109776</v>
      </c>
      <c r="I24" s="128">
        <v>0.16291453134020839</v>
      </c>
    </row>
    <row r="25" spans="1:9" s="191" customFormat="1" ht="20.100000000000001" customHeight="1" x14ac:dyDescent="0.3">
      <c r="A25" s="181" t="s">
        <v>22</v>
      </c>
      <c r="B25" s="127">
        <v>0.42087154247759806</v>
      </c>
      <c r="C25" s="127">
        <v>0.19053959040794649</v>
      </c>
      <c r="D25" s="127">
        <v>0.19713674510449233</v>
      </c>
      <c r="E25" s="127">
        <v>0.19145212200996303</v>
      </c>
      <c r="F25" s="127">
        <v>0.39233336611986697</v>
      </c>
      <c r="G25" s="127">
        <v>0.17761960916573347</v>
      </c>
      <c r="H25" s="127">
        <v>0.25157676027983433</v>
      </c>
      <c r="I25" s="127">
        <v>0.17847026443456521</v>
      </c>
    </row>
    <row r="26" spans="1:9" s="191" customFormat="1" ht="20.100000000000001" customHeight="1" x14ac:dyDescent="0.3">
      <c r="A26" s="181" t="s">
        <v>23</v>
      </c>
      <c r="B26" s="128">
        <v>0.29475192028233343</v>
      </c>
      <c r="C26" s="128">
        <v>0.13173759601411666</v>
      </c>
      <c r="D26" s="128">
        <v>0.20217977994602448</v>
      </c>
      <c r="E26" s="128">
        <v>0.37133070375752542</v>
      </c>
      <c r="F26" s="128">
        <v>0.27267089226797309</v>
      </c>
      <c r="G26" s="128">
        <v>0.1218686134970703</v>
      </c>
      <c r="H26" s="128">
        <v>0.26194763697155465</v>
      </c>
      <c r="I26" s="128">
        <v>0.34351285726340197</v>
      </c>
    </row>
    <row r="27" spans="1:9" s="191" customFormat="1" ht="20.100000000000001" customHeight="1" x14ac:dyDescent="0.3">
      <c r="A27" s="181" t="s">
        <v>24</v>
      </c>
      <c r="B27" s="127">
        <v>0.26885029676852057</v>
      </c>
      <c r="C27" s="127">
        <v>0.14770907263762836</v>
      </c>
      <c r="D27" s="127">
        <v>0.29968909964513391</v>
      </c>
      <c r="E27" s="127">
        <v>0.28375153094871713</v>
      </c>
      <c r="F27" s="127">
        <v>0.25110726542105416</v>
      </c>
      <c r="G27" s="127">
        <v>0.13796087173320037</v>
      </c>
      <c r="H27" s="127">
        <v>0.34590678438389111</v>
      </c>
      <c r="I27" s="127">
        <v>0.2650250784618543</v>
      </c>
    </row>
    <row r="28" spans="1:9" s="191" customFormat="1" ht="20.100000000000001" customHeight="1" x14ac:dyDescent="0.3">
      <c r="A28" s="181" t="s">
        <v>25</v>
      </c>
      <c r="B28" s="128">
        <v>0.39356635361371989</v>
      </c>
      <c r="C28" s="128">
        <v>0.10579991833401389</v>
      </c>
      <c r="D28" s="128">
        <v>0.1238758677011025</v>
      </c>
      <c r="E28" s="128">
        <v>0.37675786035116376</v>
      </c>
      <c r="F28" s="128">
        <v>0.39104119757451516</v>
      </c>
      <c r="G28" s="128">
        <v>0.10512109683345769</v>
      </c>
      <c r="H28" s="128">
        <v>0.12949715652179003</v>
      </c>
      <c r="I28" s="128">
        <v>0.37434054907023717</v>
      </c>
    </row>
    <row r="29" spans="1:9" s="191" customFormat="1" ht="20.100000000000001" customHeight="1" x14ac:dyDescent="0.3">
      <c r="A29" s="181" t="s">
        <v>41</v>
      </c>
      <c r="B29" s="127">
        <v>0.31133933595948232</v>
      </c>
      <c r="C29" s="127">
        <v>0.1854248733821047</v>
      </c>
      <c r="D29" s="127">
        <v>0.39378165447383229</v>
      </c>
      <c r="E29" s="127">
        <v>0.10945413618458076</v>
      </c>
      <c r="F29" s="127">
        <v>0.31133933595948232</v>
      </c>
      <c r="G29" s="127">
        <v>0.1854248733821047</v>
      </c>
      <c r="H29" s="127">
        <v>0.39378165447383229</v>
      </c>
      <c r="I29" s="127">
        <v>0.10945413618458076</v>
      </c>
    </row>
    <row r="30" spans="1:9" s="191" customFormat="1" ht="20.100000000000001" customHeight="1" x14ac:dyDescent="0.3">
      <c r="A30" s="181" t="s">
        <v>27</v>
      </c>
      <c r="B30" s="128">
        <v>0.13691419101698632</v>
      </c>
      <c r="C30" s="128">
        <v>0.11064265347403308</v>
      </c>
      <c r="D30" s="128">
        <v>0.18487558794141301</v>
      </c>
      <c r="E30" s="128">
        <v>0.56756756756756754</v>
      </c>
      <c r="F30" s="128">
        <v>0.13691419101698632</v>
      </c>
      <c r="G30" s="128">
        <v>0.11064265347403308</v>
      </c>
      <c r="H30" s="128">
        <v>0.18487558794141301</v>
      </c>
      <c r="I30" s="128">
        <v>0.56756756756756754</v>
      </c>
    </row>
    <row r="31" spans="1:9" s="191" customFormat="1" x14ac:dyDescent="0.3">
      <c r="A31" s="182" t="s">
        <v>28</v>
      </c>
      <c r="B31" s="183">
        <f>AVERAGE(B5:B30)</f>
        <v>0.23523659180622242</v>
      </c>
      <c r="C31" s="183">
        <f t="shared" ref="C31:E31" si="0">AVERAGE(C5:C30)</f>
        <v>0.12870631890216569</v>
      </c>
      <c r="D31" s="183">
        <f t="shared" si="0"/>
        <v>0.30852942848528736</v>
      </c>
      <c r="E31" s="183">
        <f t="shared" si="0"/>
        <v>0.32752766080632456</v>
      </c>
      <c r="F31" s="183">
        <f t="shared" ref="F31" si="1">AVERAGE(F5:F30)</f>
        <v>0.21980478420430927</v>
      </c>
      <c r="G31" s="183">
        <f t="shared" ref="G31" si="2">AVERAGE(G5:G30)</f>
        <v>0.12128098882033514</v>
      </c>
      <c r="H31" s="183">
        <f t="shared" ref="H31:I31" si="3">AVERAGE(H5:H30)</f>
        <v>0.35064540857665227</v>
      </c>
      <c r="I31" s="183">
        <f t="shared" si="3"/>
        <v>0.30826881839870335</v>
      </c>
    </row>
    <row r="34" spans="1:2" x14ac:dyDescent="0.3">
      <c r="A34" s="201" t="s">
        <v>318</v>
      </c>
      <c r="B34" s="200" t="s">
        <v>324</v>
      </c>
    </row>
    <row r="35" spans="1:2" x14ac:dyDescent="0.3">
      <c r="B35" s="129" t="s">
        <v>325</v>
      </c>
    </row>
  </sheetData>
  <mergeCells count="3">
    <mergeCell ref="A1:A4"/>
    <mergeCell ref="B1:E3"/>
    <mergeCell ref="F1:I3"/>
  </mergeCells>
  <hyperlinks>
    <hyperlink ref="B34"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9"/>
  <sheetViews>
    <sheetView showGridLines="0" zoomScale="60" zoomScaleNormal="60" workbookViewId="0">
      <pane xSplit="1" topLeftCell="B1" activePane="topRight" state="frozen"/>
      <selection pane="topRight" activeCell="W4" sqref="W4:W29"/>
    </sheetView>
  </sheetViews>
  <sheetFormatPr defaultRowHeight="18.75" x14ac:dyDescent="0.3"/>
  <cols>
    <col min="1" max="18" width="20.7109375" style="10" customWidth="1"/>
    <col min="19" max="19" width="25.28515625" style="10" bestFit="1" customWidth="1"/>
    <col min="20" max="32" width="20.7109375" style="10" customWidth="1"/>
    <col min="33" max="33" width="20.7109375" style="60" customWidth="1"/>
    <col min="34" max="16384" width="9.140625" style="10"/>
  </cols>
  <sheetData>
    <row r="1" spans="1:33" s="12" customFormat="1" ht="30" customHeight="1" x14ac:dyDescent="0.25">
      <c r="A1" s="243"/>
      <c r="B1" s="242" t="s">
        <v>56</v>
      </c>
      <c r="C1" s="242"/>
      <c r="D1" s="242"/>
      <c r="E1" s="242"/>
      <c r="F1" s="242"/>
      <c r="G1" s="242"/>
      <c r="H1" s="242"/>
      <c r="I1" s="242" t="s">
        <v>59</v>
      </c>
      <c r="J1" s="242"/>
      <c r="K1" s="242"/>
      <c r="L1" s="242"/>
      <c r="M1" s="242" t="s">
        <v>60</v>
      </c>
      <c r="N1" s="242"/>
      <c r="O1" s="242"/>
      <c r="P1" s="242" t="s">
        <v>61</v>
      </c>
      <c r="Q1" s="242"/>
      <c r="R1" s="242"/>
      <c r="S1" s="242"/>
      <c r="T1" s="242"/>
      <c r="U1" s="242"/>
      <c r="V1" s="242"/>
      <c r="W1" s="242" t="s">
        <v>79</v>
      </c>
      <c r="X1" s="242"/>
      <c r="Y1" s="242"/>
      <c r="Z1" s="242"/>
      <c r="AA1" s="242"/>
      <c r="AB1" s="242"/>
      <c r="AC1" s="242"/>
      <c r="AD1" s="242" t="s">
        <v>108</v>
      </c>
      <c r="AE1" s="242"/>
      <c r="AF1" s="242"/>
      <c r="AG1" s="242" t="s">
        <v>198</v>
      </c>
    </row>
    <row r="2" spans="1:33" s="12" customFormat="1" ht="30" customHeight="1" x14ac:dyDescent="0.25">
      <c r="A2" s="243"/>
      <c r="B2" s="118" t="s">
        <v>48</v>
      </c>
      <c r="C2" s="118" t="s">
        <v>57</v>
      </c>
      <c r="D2" s="242" t="s">
        <v>58</v>
      </c>
      <c r="E2" s="242"/>
      <c r="F2" s="242"/>
      <c r="G2" s="242"/>
      <c r="H2" s="242"/>
      <c r="I2" s="242"/>
      <c r="J2" s="242"/>
      <c r="K2" s="242"/>
      <c r="L2" s="242"/>
      <c r="M2" s="242"/>
      <c r="N2" s="242"/>
      <c r="O2" s="242"/>
      <c r="P2" s="118" t="s">
        <v>48</v>
      </c>
      <c r="Q2" s="118" t="s">
        <v>57</v>
      </c>
      <c r="R2" s="242" t="s">
        <v>58</v>
      </c>
      <c r="S2" s="242"/>
      <c r="T2" s="242"/>
      <c r="U2" s="242"/>
      <c r="V2" s="242"/>
      <c r="W2" s="17" t="s">
        <v>48</v>
      </c>
      <c r="X2" s="17" t="s">
        <v>57</v>
      </c>
      <c r="Y2" s="242" t="s">
        <v>58</v>
      </c>
      <c r="Z2" s="242"/>
      <c r="AA2" s="242"/>
      <c r="AB2" s="242"/>
      <c r="AC2" s="242"/>
      <c r="AD2" s="242"/>
      <c r="AE2" s="242"/>
      <c r="AF2" s="242"/>
      <c r="AG2" s="242"/>
    </row>
    <row r="3" spans="1:33" ht="69.95" customHeight="1" x14ac:dyDescent="0.25">
      <c r="A3" s="14" t="s">
        <v>29</v>
      </c>
      <c r="B3" s="14" t="s">
        <v>55</v>
      </c>
      <c r="C3" s="14" t="s">
        <v>51</v>
      </c>
      <c r="D3" s="14" t="s">
        <v>49</v>
      </c>
      <c r="E3" s="14" t="s">
        <v>50</v>
      </c>
      <c r="F3" s="14" t="s">
        <v>52</v>
      </c>
      <c r="G3" s="14" t="s">
        <v>53</v>
      </c>
      <c r="H3" s="14" t="s">
        <v>54</v>
      </c>
      <c r="I3" s="14" t="s">
        <v>104</v>
      </c>
      <c r="J3" s="14" t="s">
        <v>105</v>
      </c>
      <c r="K3" s="14" t="s">
        <v>106</v>
      </c>
      <c r="L3" s="14" t="s">
        <v>107</v>
      </c>
      <c r="M3" s="14" t="s">
        <v>69</v>
      </c>
      <c r="N3" s="14" t="s">
        <v>70</v>
      </c>
      <c r="O3" s="14" t="s">
        <v>71</v>
      </c>
      <c r="P3" s="14" t="s">
        <v>62</v>
      </c>
      <c r="Q3" s="14" t="s">
        <v>63</v>
      </c>
      <c r="R3" s="14" t="s">
        <v>64</v>
      </c>
      <c r="S3" s="14" t="s">
        <v>65</v>
      </c>
      <c r="T3" s="14" t="s">
        <v>66</v>
      </c>
      <c r="U3" s="14" t="s">
        <v>67</v>
      </c>
      <c r="V3" s="14" t="s">
        <v>68</v>
      </c>
      <c r="W3" s="14" t="s">
        <v>72</v>
      </c>
      <c r="X3" s="14" t="s">
        <v>73</v>
      </c>
      <c r="Y3" s="14" t="s">
        <v>74</v>
      </c>
      <c r="Z3" s="14" t="s">
        <v>75</v>
      </c>
      <c r="AA3" s="14" t="s">
        <v>76</v>
      </c>
      <c r="AB3" s="14" t="s">
        <v>77</v>
      </c>
      <c r="AC3" s="14" t="s">
        <v>78</v>
      </c>
      <c r="AD3" s="14" t="s">
        <v>109</v>
      </c>
      <c r="AE3" s="14" t="s">
        <v>110</v>
      </c>
      <c r="AF3" s="14" t="s">
        <v>111</v>
      </c>
      <c r="AG3" s="14" t="s">
        <v>315</v>
      </c>
    </row>
    <row r="4" spans="1:33" ht="15.75" x14ac:dyDescent="0.25">
      <c r="A4" s="15" t="s">
        <v>2</v>
      </c>
      <c r="B4" s="49">
        <f>Table35[[#This Row],[Stove (€/MW)]]</f>
        <v>208043.21053758834</v>
      </c>
      <c r="C4" s="49">
        <f>Table35[[#This Row],[Electric Water heater (€/MW)]]</f>
        <v>78066.666666666672</v>
      </c>
      <c r="D4" s="49">
        <f>Table35[[#This Row],[A/C (€/MW)]]</f>
        <v>132372.20082477437</v>
      </c>
      <c r="E4" s="49">
        <f>Table35[[#This Row],[Other electric appliances (€/MW)]]</f>
        <v>47730</v>
      </c>
      <c r="F4" s="49">
        <f>Table35[[#This Row],[Heat pumps (€/MW)]]</f>
        <v>256139.00704018777</v>
      </c>
      <c r="G4" s="49">
        <f>Table35[[#This Row],[Oil Burner (€/MW)]]</f>
        <v>21336.811625874125</v>
      </c>
      <c r="H4" s="49">
        <f>Table35[[#This Row],[Burner (Pellet, wood,…) (€/MW)]]</f>
        <v>105171.75608498839</v>
      </c>
      <c r="I4" s="49">
        <f>'Fuel Prices excl. VAT'!B3</f>
        <v>6.4699999999999994E-2</v>
      </c>
      <c r="J4" s="49">
        <f>'Fuel Prices excl. VAT'!D3</f>
        <v>0.24390000000000001</v>
      </c>
      <c r="K4" s="49">
        <f>'Fuel Prices excl. VAT'!F3</f>
        <v>0.14168654747834541</v>
      </c>
      <c r="L4" s="49">
        <f>'Fuel Prices excl. VAT'!H3</f>
        <v>4.4999999999999998E-2</v>
      </c>
      <c r="M4" s="49">
        <f>J4-I4</f>
        <v>0.17920000000000003</v>
      </c>
      <c r="N4" s="49">
        <f t="shared" ref="N4:N29" si="0">K4-I4</f>
        <v>7.6986547478345421E-2</v>
      </c>
      <c r="O4" s="49">
        <f t="shared" ref="O4:O29" si="1">L4-I4</f>
        <v>-1.9699999999999995E-2</v>
      </c>
      <c r="P4" s="49">
        <f>Table3[[#This Row],[Stove (€/MW)]]/'Utilisation by Sector'!$B$7</f>
        <v>57.154728169667123</v>
      </c>
      <c r="Q4" s="49">
        <f>Table3[[#This Row],[Electric Water heater (€/MW)]]/'Utilisation by Sector'!$C$7</f>
        <v>21.446886446886449</v>
      </c>
      <c r="R4" s="49">
        <f>Table3[[#This Row],[A/C (€/MW)]]/'Utilisation by Sector'!$D$7</f>
        <v>13.904642943778819</v>
      </c>
      <c r="S4" s="49">
        <f>Table3[[#This Row],[Other electric appliances (€/MW)]]/'Utilisation by Sector'!$E$7</f>
        <v>7.1623649459783918</v>
      </c>
      <c r="T4" s="49">
        <f>Table3[[#This Row],[Heat pumps (€/MW)]]/'Utilisation by Sector'!$F$7</f>
        <v>17.936905254915111</v>
      </c>
      <c r="U4" s="49">
        <f>Table3[[#This Row],[Oil Burner (€/MW)]]/'Utilisation by Sector'!$G$7</f>
        <v>1.1206308627034729</v>
      </c>
      <c r="V4" s="49">
        <f>Table3[[#This Row],[Burner (Pellet, wood,…) (€/MW)]]/'Utilisation by Sector'!$H$7</f>
        <v>5.5237266851359443</v>
      </c>
      <c r="W4" s="49">
        <f t="shared" ref="W4:W29" si="2">P4+M4*1000</f>
        <v>236.35472816966714</v>
      </c>
      <c r="X4" s="130">
        <f t="shared" ref="X4:X29" si="3">Q4+M4*1000</f>
        <v>200.64688644688647</v>
      </c>
      <c r="Y4" s="130">
        <f t="shared" ref="Y4:Y29" si="4">R4+M4*1000</f>
        <v>193.10464294377883</v>
      </c>
      <c r="Z4" s="130">
        <f>S4+M4*1000</f>
        <v>186.36236494597841</v>
      </c>
      <c r="AA4" s="130">
        <f t="shared" ref="AA4:AA29" si="5">T4+M4*1000</f>
        <v>197.13690525491512</v>
      </c>
      <c r="AB4" s="130">
        <f t="shared" ref="AB4:AB29" si="6">U4+N4*1000</f>
        <v>78.107178341048893</v>
      </c>
      <c r="AC4" s="130">
        <f t="shared" ref="AC4:AC29" si="7">V4+O4*1000</f>
        <v>-14.176273314864051</v>
      </c>
      <c r="AD4" s="130">
        <f>Table3[[#This Row],[UCM
Stove
(€/MWh)]]*'W.F. at Appliance Level'!B4</f>
        <v>236.35472816966714</v>
      </c>
      <c r="AE4" s="130">
        <f>Table3[[#This Row],[UCM
Electric water heater
(€/MWh)]]*'W.F. at Appliance Level'!C4</f>
        <v>200.64688644688647</v>
      </c>
      <c r="AF4" s="130">
        <f>Table3[[#This Row],[UCM
A/C
(€/MWh)]]*'W.F. at Appliance Level'!D4+Table3[[#This Row],[UCM
Other elecric appliances
(€/MWh)]]*'W.F. at Appliance Level'!E4+Table3[[#This Row],[UCM
heat pumps
(€/MWh)]]*'W.F. at Appliance Level'!F4+Table3[[#This Row],[UCM
Oil burner
(€/MWh) ]]*'W.F. at Appliance Level'!G4+Table3[[#This Row],[UCM
Pellet/Wood burner
(€/MWh)]]*'W.F. at Appliance Level'!H4</f>
        <v>128.10696363417145</v>
      </c>
      <c r="AG4" s="140">
        <f>Table3[[#This Row],[UCM for cooking
(€/MWh)]]*'W.F. End-use Level'!B5+Table3[[#This Row],[UCM for water heating
(€/MWh)]]*'W.F. End-use Level'!C5+Table3[[#This Row],[UCM for space heating
(€/MWh)]]*'W.F. End-use Level'!D5</f>
        <v>157.19464705250581</v>
      </c>
    </row>
    <row r="5" spans="1:33" ht="15.75" x14ac:dyDescent="0.25">
      <c r="A5" s="15" t="s">
        <v>3</v>
      </c>
      <c r="B5" s="50">
        <f>Table35[[#This Row],[Stove (€/MW)]]</f>
        <v>408888.88888888888</v>
      </c>
      <c r="C5" s="50">
        <f>Table35[[#This Row],[Electric Water heater (€/MW)]]</f>
        <v>243351.85185185188</v>
      </c>
      <c r="D5" s="50">
        <f>Table35[[#This Row],[A/C (€/MW)]]</f>
        <v>211348.19532908703</v>
      </c>
      <c r="E5" s="50">
        <f>Table35[[#This Row],[Other electric appliances (€/MW)]]</f>
        <v>19093.666666666664</v>
      </c>
      <c r="F5" s="50">
        <f>Table35[[#This Row],[Heat pumps (€/MW)]]</f>
        <v>714913.57142857148</v>
      </c>
      <c r="G5" s="50">
        <f>Table35[[#This Row],[Oil Burner (€/MW)]]</f>
        <v>11156.202663880907</v>
      </c>
      <c r="H5" s="50">
        <f>Table35[[#This Row],[Burner (Pellet, wood,…) (€/MW)]]</f>
        <v>84133.333333333328</v>
      </c>
      <c r="I5" s="50">
        <f>'Fuel Prices excl. VAT'!B4</f>
        <v>9.7000000000000003E-2</v>
      </c>
      <c r="J5" s="50">
        <f>'Fuel Prices excl. VAT'!D4</f>
        <v>0.15479999999999999</v>
      </c>
      <c r="K5" s="50">
        <f>'Fuel Prices excl. VAT'!F4</f>
        <v>0.12105067656139483</v>
      </c>
      <c r="L5" s="50">
        <f>'Fuel Prices excl. VAT'!H4</f>
        <v>4.4999999999999998E-2</v>
      </c>
      <c r="M5" s="50">
        <f>J5-I5</f>
        <v>5.779999999999999E-2</v>
      </c>
      <c r="N5" s="50">
        <f t="shared" si="0"/>
        <v>2.4050676561394826E-2</v>
      </c>
      <c r="O5" s="50">
        <f t="shared" si="1"/>
        <v>-5.2000000000000005E-2</v>
      </c>
      <c r="P5" s="50">
        <f>Table3[[#This Row],[Stove (€/MW)]]/'Utilisation by Sector'!$B$7</f>
        <v>112.33211233211233</v>
      </c>
      <c r="Q5" s="50">
        <f>Table3[[#This Row],[Electric Water heater (€/MW)]]/'Utilisation by Sector'!$C$7</f>
        <v>66.854904354904363</v>
      </c>
      <c r="R5" s="50">
        <f>Table3[[#This Row],[A/C (€/MW)]]/'Utilisation by Sector'!$D$7</f>
        <v>22.200440685828468</v>
      </c>
      <c r="S5" s="50">
        <f>Table3[[#This Row],[Other electric appliances (€/MW)]]/'Utilisation by Sector'!$E$7</f>
        <v>2.8651960784313721</v>
      </c>
      <c r="T5" s="50">
        <f>Table3[[#This Row],[Heat pumps (€/MW)]]/'Utilisation by Sector'!$F$7</f>
        <v>50.063975590236097</v>
      </c>
      <c r="U5" s="50">
        <f>Table3[[#This Row],[Oil Burner (€/MW)]]/'Utilisation by Sector'!$G$7</f>
        <v>0.58593501385929136</v>
      </c>
      <c r="V5" s="50">
        <f>Table3[[#This Row],[Burner (Pellet, wood,…) (€/MW)]]/'Utilisation by Sector'!$H$7</f>
        <v>4.4187675070028005</v>
      </c>
      <c r="W5" s="50">
        <f t="shared" si="2"/>
        <v>170.13211233211231</v>
      </c>
      <c r="X5" s="131">
        <f t="shared" si="3"/>
        <v>124.65490435490435</v>
      </c>
      <c r="Y5" s="131">
        <f t="shared" si="4"/>
        <v>80.000440685828465</v>
      </c>
      <c r="Z5" s="131">
        <f t="shared" ref="Z5:Z29" si="8">S5+M5*1000</f>
        <v>60.665196078431364</v>
      </c>
      <c r="AA5" s="131">
        <f t="shared" si="5"/>
        <v>107.86397559023609</v>
      </c>
      <c r="AB5" s="131">
        <f t="shared" si="6"/>
        <v>24.636611575254118</v>
      </c>
      <c r="AC5" s="131">
        <f t="shared" si="7"/>
        <v>-47.581232492997209</v>
      </c>
      <c r="AD5" s="131">
        <f>Table3[[#This Row],[UCM
Stove
(€/MWh)]]*'W.F. at Appliance Level'!B5</f>
        <v>170.13211233211231</v>
      </c>
      <c r="AE5" s="131">
        <f>Table3[[#This Row],[UCM
Electric water heater
(€/MWh)]]*'W.F. at Appliance Level'!C5</f>
        <v>124.65490435490435</v>
      </c>
      <c r="AF5" s="131">
        <f>Table3[[#This Row],[UCM
A/C
(€/MWh)]]*'W.F. at Appliance Level'!D5+Table3[[#This Row],[UCM
Other elecric appliances
(€/MWh)]]*'W.F. at Appliance Level'!E5+Table3[[#This Row],[UCM
heat pumps
(€/MWh)]]*'W.F. at Appliance Level'!F5+Table3[[#This Row],[UCM
Oil burner
(€/MWh) ]]*'W.F. at Appliance Level'!G5+Table3[[#This Row],[UCM
Pellet/Wood burner
(€/MWh)]]*'W.F. at Appliance Level'!H5</f>
        <v>45.116998287350569</v>
      </c>
      <c r="AG5" s="145">
        <f>Table3[[#This Row],[UCM for cooking
(€/MWh)]]*'W.F. End-use Level'!B6+Table3[[#This Row],[UCM for water heating
(€/MWh)]]*'W.F. End-use Level'!C6+Table3[[#This Row],[UCM for space heating
(€/MWh)]]*'W.F. End-use Level'!D6</f>
        <v>66.114969649451055</v>
      </c>
    </row>
    <row r="6" spans="1:33" ht="15.75" x14ac:dyDescent="0.25">
      <c r="A6" s="15" t="s">
        <v>4</v>
      </c>
      <c r="B6" s="49">
        <f>Table35[[#This Row],[Stove (€/MW)]]</f>
        <v>167777.53968253967</v>
      </c>
      <c r="C6" s="49">
        <f>Table35[[#This Row],[Electric Water heater (€/MW)]]</f>
        <v>42899.285714285717</v>
      </c>
      <c r="D6" s="49">
        <f>Table35[[#This Row],[A/C (€/MW)]]</f>
        <v>211348.19532908703</v>
      </c>
      <c r="E6" s="49">
        <f>Table35[[#This Row],[Other electric appliances (€/MW)]]</f>
        <v>74277.333333333343</v>
      </c>
      <c r="F6" s="49">
        <f>Table35[[#This Row],[Heat pumps (€/MW)]]</f>
        <v>240298.53193233476</v>
      </c>
      <c r="G6" s="49">
        <f>Table35[[#This Row],[Oil Burner (€/MW)]]</f>
        <v>14918.870370370372</v>
      </c>
      <c r="H6" s="49">
        <f>Table35[[#This Row],[Burner (Pellet, wood,…) (€/MW)]]</f>
        <v>70071.634615384624</v>
      </c>
      <c r="I6" s="49">
        <f>'Fuel Prices excl. VAT'!B5</f>
        <v>4.7291666666666669E-2</v>
      </c>
      <c r="J6" s="49">
        <f>'Fuel Prices excl. VAT'!D5</f>
        <v>0.1275</v>
      </c>
      <c r="K6" s="49">
        <f>'Fuel Prices excl. VAT'!F5</f>
        <v>0.10694736842105264</v>
      </c>
      <c r="L6" s="49">
        <f>'Fuel Prices excl. VAT'!H5</f>
        <v>4.4999999999999998E-2</v>
      </c>
      <c r="M6" s="49">
        <f t="shared" ref="M6:M29" si="9">J6-I6</f>
        <v>8.0208333333333326E-2</v>
      </c>
      <c r="N6" s="49">
        <f t="shared" si="0"/>
        <v>5.9655701754385969E-2</v>
      </c>
      <c r="O6" s="49">
        <f t="shared" si="1"/>
        <v>-2.291666666666671E-3</v>
      </c>
      <c r="P6" s="49">
        <f>Table3[[#This Row],[Stove (€/MW)]]/'Utilisation by Sector'!$B$7</f>
        <v>46.092730682016395</v>
      </c>
      <c r="Q6" s="49">
        <f>Table3[[#This Row],[Electric Water heater (€/MW)]]/'Utilisation by Sector'!$C$7</f>
        <v>11.785518053375197</v>
      </c>
      <c r="R6" s="49">
        <f>Table3[[#This Row],[A/C (€/MW)]]/'Utilisation by Sector'!$D$7</f>
        <v>22.200440685828468</v>
      </c>
      <c r="S6" s="49">
        <f>Table3[[#This Row],[Other electric appliances (€/MW)]]/'Utilisation by Sector'!$E$7</f>
        <v>11.146058423369348</v>
      </c>
      <c r="T6" s="49">
        <f>Table3[[#This Row],[Heat pumps (€/MW)]]/'Utilisation by Sector'!$F$7</f>
        <v>16.827628286578065</v>
      </c>
      <c r="U6" s="49">
        <f>Table3[[#This Row],[Oil Burner (€/MW)]]/'Utilisation by Sector'!$G$7</f>
        <v>0.78355411609088088</v>
      </c>
      <c r="V6" s="49">
        <f>Table3[[#This Row],[Burner (Pellet, wood,…) (€/MW)]]/'Utilisation by Sector'!$H$7</f>
        <v>3.6802329104718816</v>
      </c>
      <c r="W6" s="49">
        <f t="shared" si="2"/>
        <v>126.30106401534972</v>
      </c>
      <c r="X6" s="130">
        <f t="shared" si="3"/>
        <v>91.993851386708528</v>
      </c>
      <c r="Y6" s="130">
        <f t="shared" si="4"/>
        <v>102.4087740191618</v>
      </c>
      <c r="Z6" s="130">
        <f t="shared" si="8"/>
        <v>91.354391756702682</v>
      </c>
      <c r="AA6" s="130">
        <f t="shared" si="5"/>
        <v>97.03596161991139</v>
      </c>
      <c r="AB6" s="130">
        <f t="shared" si="6"/>
        <v>60.439255870476849</v>
      </c>
      <c r="AC6" s="130">
        <f t="shared" si="7"/>
        <v>1.3885662438052107</v>
      </c>
      <c r="AD6" s="130">
        <f>Table3[[#This Row],[UCM
Stove
(€/MWh)]]*'W.F. at Appliance Level'!B6</f>
        <v>126.30106401534972</v>
      </c>
      <c r="AE6" s="130">
        <f>Table3[[#This Row],[UCM
Electric water heater
(€/MWh)]]*'W.F. at Appliance Level'!C6</f>
        <v>91.993851386708528</v>
      </c>
      <c r="AF6" s="130">
        <f>Table3[[#This Row],[UCM
A/C
(€/MWh)]]*'W.F. at Appliance Level'!D6+Table3[[#This Row],[UCM
Other elecric appliances
(€/MWh)]]*'W.F. at Appliance Level'!E6+Table3[[#This Row],[UCM
heat pumps
(€/MWh)]]*'W.F. at Appliance Level'!F6+Table3[[#This Row],[UCM
Oil burner
(€/MWh) ]]*'W.F. at Appliance Level'!G6+Table3[[#This Row],[UCM
Pellet/Wood burner
(€/MWh)]]*'W.F. at Appliance Level'!H6</f>
        <v>70.525389902011597</v>
      </c>
      <c r="AG6" s="140">
        <f>Table3[[#This Row],[UCM for cooking
(€/MWh)]]*'W.F. End-use Level'!B7+Table3[[#This Row],[UCM for water heating
(€/MWh)]]*'W.F. End-use Level'!C7+Table3[[#This Row],[UCM for space heating
(€/MWh)]]*'W.F. End-use Level'!D7</f>
        <v>79.963694313248652</v>
      </c>
    </row>
    <row r="7" spans="1:33" ht="15.75" x14ac:dyDescent="0.25">
      <c r="A7" s="15" t="s">
        <v>5</v>
      </c>
      <c r="B7" s="50">
        <f>Table35[[#This Row],[Stove (€/MW)]]</f>
        <v>59570.793650793661</v>
      </c>
      <c r="C7" s="50">
        <f>Table35[[#This Row],[Electric Water heater (€/MW)]]</f>
        <v>75970.37037037038</v>
      </c>
      <c r="D7" s="50">
        <f>Table35[[#This Row],[A/C (€/MW)]]</f>
        <v>192855.70370370371</v>
      </c>
      <c r="E7" s="50">
        <f>Table35[[#This Row],[Other electric appliances (€/MW)]]</f>
        <v>10800</v>
      </c>
      <c r="F7" s="50">
        <f>Table35[[#This Row],[Heat pumps (€/MW)]]</f>
        <v>308332.04633204633</v>
      </c>
      <c r="G7" s="50">
        <f>Table35[[#This Row],[Oil Burner (€/MW)]]</f>
        <v>36343.079494316153</v>
      </c>
      <c r="H7" s="50">
        <f>Table35[[#This Row],[Burner (Pellet, wood,…) (€/MW)]]</f>
        <v>46676.666666666672</v>
      </c>
      <c r="I7" s="50">
        <f>'Fuel Prices excl. VAT'!B6</f>
        <v>3.6200000000000003E-2</v>
      </c>
      <c r="J7" s="50">
        <f>'Fuel Prices excl. VAT'!D6</f>
        <v>0.1075</v>
      </c>
      <c r="K7" s="50">
        <f>'Fuel Prices excl. VAT'!F6</f>
        <v>8.2631578947368431E-2</v>
      </c>
      <c r="L7" s="50">
        <f>'Fuel Prices excl. VAT'!H6</f>
        <v>4.4999999999999998E-2</v>
      </c>
      <c r="M7" s="50">
        <f t="shared" si="9"/>
        <v>7.1300000000000002E-2</v>
      </c>
      <c r="N7" s="50">
        <f t="shared" si="0"/>
        <v>4.6431578947368428E-2</v>
      </c>
      <c r="O7" s="50">
        <f t="shared" si="1"/>
        <v>8.7999999999999953E-3</v>
      </c>
      <c r="P7" s="50">
        <f>Table3[[#This Row],[Stove (€/MW)]]/'Utilisation by Sector'!$B$7</f>
        <v>16.365602651316941</v>
      </c>
      <c r="Q7" s="50">
        <f>Table3[[#This Row],[Electric Water heater (€/MW)]]/'Utilisation by Sector'!$C$7</f>
        <v>20.870980870980873</v>
      </c>
      <c r="R7" s="50">
        <f>Table3[[#This Row],[A/C (€/MW)]]/'Utilisation by Sector'!$D$7</f>
        <v>20.257952069716776</v>
      </c>
      <c r="S7" s="50">
        <f>Table3[[#This Row],[Other electric appliances (€/MW)]]/'Utilisation by Sector'!$E$7</f>
        <v>1.6206482593037215</v>
      </c>
      <c r="T7" s="50">
        <f>Table3[[#This Row],[Heat pumps (€/MW)]]/'Utilisation by Sector'!$F$7</f>
        <v>21.591879995241339</v>
      </c>
      <c r="U7" s="50">
        <f>Table3[[#This Row],[Oil Burner (€/MW)]]/'Utilisation by Sector'!$G$7</f>
        <v>1.908775183525008</v>
      </c>
      <c r="V7" s="50">
        <f>Table3[[#This Row],[Burner (Pellet, wood,…) (€/MW)]]/'Utilisation by Sector'!$H$7</f>
        <v>2.4515056022408968</v>
      </c>
      <c r="W7" s="50">
        <f t="shared" si="2"/>
        <v>87.665602651316931</v>
      </c>
      <c r="X7" s="131">
        <f t="shared" si="3"/>
        <v>92.17098087098087</v>
      </c>
      <c r="Y7" s="131">
        <f t="shared" si="4"/>
        <v>91.557952069716777</v>
      </c>
      <c r="Z7" s="131">
        <f t="shared" si="8"/>
        <v>72.920648259303718</v>
      </c>
      <c r="AA7" s="131">
        <f t="shared" si="5"/>
        <v>92.891879995241339</v>
      </c>
      <c r="AB7" s="131">
        <f t="shared" si="6"/>
        <v>48.340354130893438</v>
      </c>
      <c r="AC7" s="131">
        <f t="shared" si="7"/>
        <v>11.251505602240892</v>
      </c>
      <c r="AD7" s="131">
        <f>Table3[[#This Row],[UCM
Stove
(€/MWh)]]*'W.F. at Appliance Level'!B7</f>
        <v>87.665602651316931</v>
      </c>
      <c r="AE7" s="131">
        <f>Table3[[#This Row],[UCM
Electric water heater
(€/MWh)]]*'W.F. at Appliance Level'!C7</f>
        <v>92.17098087098087</v>
      </c>
      <c r="AF7" s="131">
        <f>Table3[[#This Row],[UCM
A/C
(€/MWh)]]*'W.F. at Appliance Level'!D7+Table3[[#This Row],[UCM
Other elecric appliances
(€/MWh)]]*'W.F. at Appliance Level'!E7+Table3[[#This Row],[UCM
heat pumps
(€/MWh)]]*'W.F. at Appliance Level'!F7+Table3[[#This Row],[UCM
Oil burner
(€/MWh) ]]*'W.F. at Appliance Level'!G7+Table3[[#This Row],[UCM
Pellet/Wood burner
(€/MWh)]]*'W.F. at Appliance Level'!H7</f>
        <v>63.392468011479231</v>
      </c>
      <c r="AG7" s="145">
        <f>Table3[[#This Row],[UCM for cooking
(€/MWh)]]*'W.F. End-use Level'!B8+Table3[[#This Row],[UCM for water heating
(€/MWh)]]*'W.F. End-use Level'!C8+Table3[[#This Row],[UCM for space heating
(€/MWh)]]*'W.F. End-use Level'!D8</f>
        <v>70.918165300882094</v>
      </c>
    </row>
    <row r="8" spans="1:33" ht="15.75" x14ac:dyDescent="0.25">
      <c r="A8" s="15" t="s">
        <v>6</v>
      </c>
      <c r="B8" s="49">
        <f>Table35[[#This Row],[Stove (€/MW)]]</f>
        <v>124284.25287356324</v>
      </c>
      <c r="C8" s="49">
        <f>Table35[[#This Row],[Electric Water heater (€/MW)]]</f>
        <v>51371.944444444453</v>
      </c>
      <c r="D8" s="49">
        <f>Table35[[#This Row],[A/C (€/MW)]]</f>
        <v>167492.4856321839</v>
      </c>
      <c r="E8" s="49">
        <f>Table35[[#This Row],[Other electric appliances (€/MW)]]</f>
        <v>52831.25</v>
      </c>
      <c r="F8" s="49">
        <f>Table35[[#This Row],[Heat pumps (€/MW)]]</f>
        <v>360680.80467372132</v>
      </c>
      <c r="G8" s="49">
        <f>Table35[[#This Row],[Oil Burner (€/MW)]]</f>
        <v>9550</v>
      </c>
      <c r="H8" s="49">
        <f>Table35[[#This Row],[Burner (Pellet, wood,…) (€/MW)]]</f>
        <v>73290.660919540242</v>
      </c>
      <c r="I8" s="49">
        <f>'Fuel Prices excl. VAT'!B7</f>
        <v>3.1199999999999999E-2</v>
      </c>
      <c r="J8" s="49">
        <f>'Fuel Prices excl. VAT'!D7</f>
        <v>0.13100000000000001</v>
      </c>
      <c r="K8" s="49">
        <f>'Fuel Prices excl. VAT'!F7</f>
        <v>7.0934736842105273E-2</v>
      </c>
      <c r="L8" s="49">
        <f>'Fuel Prices excl. VAT'!H7</f>
        <v>4.4999999999999998E-2</v>
      </c>
      <c r="M8" s="49">
        <f t="shared" si="9"/>
        <v>9.98E-2</v>
      </c>
      <c r="N8" s="49">
        <f t="shared" si="0"/>
        <v>3.9734736842105274E-2</v>
      </c>
      <c r="O8" s="49">
        <f t="shared" si="1"/>
        <v>1.38E-2</v>
      </c>
      <c r="P8" s="49">
        <f>Table3[[#This Row],[Stove (€/MW)]]/'Utilisation by Sector'!$B$7</f>
        <v>34.144025514715175</v>
      </c>
      <c r="Q8" s="49">
        <f>Table3[[#This Row],[Electric Water heater (€/MW)]]/'Utilisation by Sector'!$C$7</f>
        <v>14.113171550671552</v>
      </c>
      <c r="R8" s="49">
        <f>Table3[[#This Row],[A/C (€/MW)]]/'Utilisation by Sector'!$D$7</f>
        <v>17.593748490775621</v>
      </c>
      <c r="S8" s="49">
        <f>Table3[[#This Row],[Other electric appliances (€/MW)]]/'Utilisation by Sector'!$E$7</f>
        <v>7.927858643457383</v>
      </c>
      <c r="T8" s="49">
        <f>Table3[[#This Row],[Heat pumps (€/MW)]]/'Utilisation by Sector'!$F$7</f>
        <v>25.257759430932865</v>
      </c>
      <c r="U8" s="49">
        <f>Table3[[#This Row],[Oil Burner (€/MW)]]/'Utilisation by Sector'!$G$7</f>
        <v>0.50157563025210083</v>
      </c>
      <c r="V8" s="49">
        <f>Table3[[#This Row],[Burner (Pellet, wood,…) (€/MW)]]/'Utilisation by Sector'!$H$7</f>
        <v>3.84929941804308</v>
      </c>
      <c r="W8" s="49">
        <f t="shared" si="2"/>
        <v>133.94402551471518</v>
      </c>
      <c r="X8" s="130">
        <f t="shared" si="3"/>
        <v>113.91317155067155</v>
      </c>
      <c r="Y8" s="130">
        <f t="shared" si="4"/>
        <v>117.39374849077562</v>
      </c>
      <c r="Z8" s="130">
        <f t="shared" si="8"/>
        <v>107.72785864345738</v>
      </c>
      <c r="AA8" s="130">
        <f t="shared" si="5"/>
        <v>125.05775943093286</v>
      </c>
      <c r="AB8" s="130">
        <f t="shared" si="6"/>
        <v>40.236312472357369</v>
      </c>
      <c r="AC8" s="130">
        <f t="shared" si="7"/>
        <v>17.649299418043078</v>
      </c>
      <c r="AD8" s="130">
        <f>Table3[[#This Row],[UCM
Stove
(€/MWh)]]*'W.F. at Appliance Level'!B8</f>
        <v>133.94402551471518</v>
      </c>
      <c r="AE8" s="130">
        <f>Table3[[#This Row],[UCM
Electric water heater
(€/MWh)]]*'W.F. at Appliance Level'!C8</f>
        <v>113.91317155067155</v>
      </c>
      <c r="AF8" s="130">
        <f>Table3[[#This Row],[UCM
A/C
(€/MWh)]]*'W.F. at Appliance Level'!D8+Table3[[#This Row],[UCM
Other elecric appliances
(€/MWh)]]*'W.F. at Appliance Level'!E8+Table3[[#This Row],[UCM
heat pumps
(€/MWh)]]*'W.F. at Appliance Level'!F8+Table3[[#This Row],[UCM
Oil burner
(€/MWh) ]]*'W.F. at Appliance Level'!G8+Table3[[#This Row],[UCM
Pellet/Wood burner
(€/MWh)]]*'W.F. at Appliance Level'!H8</f>
        <v>81.612995691113269</v>
      </c>
      <c r="AG8" s="140">
        <f>Table3[[#This Row],[UCM for cooking
(€/MWh)]]*'W.F. End-use Level'!B9+Table3[[#This Row],[UCM for water heating
(€/MWh)]]*'W.F. End-use Level'!C9+Table3[[#This Row],[UCM for space heating
(€/MWh)]]*'W.F. End-use Level'!D9</f>
        <v>90.618948580670093</v>
      </c>
    </row>
    <row r="9" spans="1:33" ht="15.75" x14ac:dyDescent="0.25">
      <c r="A9" s="15" t="s">
        <v>7</v>
      </c>
      <c r="B9" s="50">
        <f>Table35[[#This Row],[Stove (€/MW)]]</f>
        <v>276550.33959096466</v>
      </c>
      <c r="C9" s="50">
        <f>Table35[[#This Row],[Electric Water heater (€/MW)]]</f>
        <v>54395.888888888883</v>
      </c>
      <c r="D9" s="50">
        <f>Table35[[#This Row],[A/C (€/MW)]]</f>
        <v>125958.9632885633</v>
      </c>
      <c r="E9" s="50">
        <f>Table35[[#This Row],[Other electric appliances (€/MW)]]</f>
        <v>13772.333333333336</v>
      </c>
      <c r="F9" s="50">
        <f>Table35[[#This Row],[Heat pumps (€/MW)]]</f>
        <v>331795.61325831705</v>
      </c>
      <c r="G9" s="50">
        <f>Table35[[#This Row],[Oil Burner (€/MW)]]</f>
        <v>36343.079494316153</v>
      </c>
      <c r="H9" s="50">
        <f>Table35[[#This Row],[Burner (Pellet, wood,…) (€/MW)]]</f>
        <v>58064.376315789472</v>
      </c>
      <c r="I9" s="50">
        <f>'Fuel Prices excl. VAT'!B8</f>
        <v>3.0200000000000001E-2</v>
      </c>
      <c r="J9" s="50">
        <f>'Fuel Prices excl. VAT'!D8</f>
        <v>9.2200000000000004E-2</v>
      </c>
      <c r="K9" s="50">
        <f>'Fuel Prices excl. VAT'!F8</f>
        <v>7.1578947368421061E-2</v>
      </c>
      <c r="L9" s="50">
        <f>'Fuel Prices excl. VAT'!H8</f>
        <v>4.4999999999999998E-2</v>
      </c>
      <c r="M9" s="50">
        <f t="shared" si="9"/>
        <v>6.2E-2</v>
      </c>
      <c r="N9" s="50">
        <f t="shared" si="0"/>
        <v>4.1378947368421057E-2</v>
      </c>
      <c r="O9" s="50">
        <f t="shared" si="1"/>
        <v>1.4799999999999997E-2</v>
      </c>
      <c r="P9" s="50">
        <f>Table3[[#This Row],[Stove (€/MW)]]/'Utilisation by Sector'!$B$7</f>
        <v>75.975368019495789</v>
      </c>
      <c r="Q9" s="50">
        <f>Table3[[#This Row],[Electric Water heater (€/MW)]]/'Utilisation by Sector'!$C$7</f>
        <v>14.943925518925518</v>
      </c>
      <c r="R9" s="50">
        <f>Table3[[#This Row],[A/C (€/MW)]]/'Utilisation by Sector'!$D$7</f>
        <v>13.230983538714632</v>
      </c>
      <c r="S9" s="50">
        <f>Table3[[#This Row],[Other electric appliances (€/MW)]]/'Utilisation by Sector'!$E$7</f>
        <v>2.0666766706682678</v>
      </c>
      <c r="T9" s="50">
        <f>Table3[[#This Row],[Heat pumps (€/MW)]]/'Utilisation by Sector'!$F$7</f>
        <v>23.234986922851334</v>
      </c>
      <c r="U9" s="50">
        <f>Table3[[#This Row],[Oil Burner (€/MW)]]/'Utilisation by Sector'!$G$7</f>
        <v>1.908775183525008</v>
      </c>
      <c r="V9" s="50">
        <f>Table3[[#This Row],[Burner (Pellet, wood,…) (€/MW)]]/'Utilisation by Sector'!$H$7</f>
        <v>3.0495995964175142</v>
      </c>
      <c r="W9" s="50">
        <f t="shared" si="2"/>
        <v>137.97536801949579</v>
      </c>
      <c r="X9" s="131">
        <f t="shared" si="3"/>
        <v>76.943925518925511</v>
      </c>
      <c r="Y9" s="131">
        <f t="shared" si="4"/>
        <v>75.230983538714639</v>
      </c>
      <c r="Z9" s="131">
        <f t="shared" si="8"/>
        <v>64.066676670668272</v>
      </c>
      <c r="AA9" s="131">
        <f t="shared" si="5"/>
        <v>85.234986922851334</v>
      </c>
      <c r="AB9" s="131">
        <f t="shared" si="6"/>
        <v>43.287722551946068</v>
      </c>
      <c r="AC9" s="131">
        <f t="shared" si="7"/>
        <v>17.849599596417512</v>
      </c>
      <c r="AD9" s="131">
        <f>Table3[[#This Row],[UCM
Stove
(€/MWh)]]*'W.F. at Appliance Level'!B9</f>
        <v>137.97536801949579</v>
      </c>
      <c r="AE9" s="131">
        <f>Table3[[#This Row],[UCM
Electric water heater
(€/MWh)]]*'W.F. at Appliance Level'!C9</f>
        <v>76.943925518925511</v>
      </c>
      <c r="AF9" s="131">
        <f>Table3[[#This Row],[UCM
A/C
(€/MWh)]]*'W.F. at Appliance Level'!D9+Table3[[#This Row],[UCM
Other elecric appliances
(€/MWh)]]*'W.F. at Appliance Level'!E9+Table3[[#This Row],[UCM
heat pumps
(€/MWh)]]*'W.F. at Appliance Level'!F9+Table3[[#This Row],[UCM
Oil burner
(€/MWh) ]]*'W.F. at Appliance Level'!G9+Table3[[#This Row],[UCM
Pellet/Wood burner
(€/MWh)]]*'W.F. at Appliance Level'!H9</f>
        <v>57.133993856119567</v>
      </c>
      <c r="AG9" s="145">
        <f>Table3[[#This Row],[UCM for cooking
(€/MWh)]]*'W.F. End-use Level'!B10+Table3[[#This Row],[UCM for water heating
(€/MWh)]]*'W.F. End-use Level'!C10+Table3[[#This Row],[UCM for space heating
(€/MWh)]]*'W.F. End-use Level'!D10</f>
        <v>84.305567566718409</v>
      </c>
    </row>
    <row r="10" spans="1:33" ht="15.75" x14ac:dyDescent="0.25">
      <c r="A10" s="15" t="s">
        <v>8</v>
      </c>
      <c r="B10" s="49">
        <f>Table35[[#This Row],[Stove (€/MW)]]</f>
        <v>185000</v>
      </c>
      <c r="C10" s="49">
        <f>Table35[[#This Row],[Electric Water heater (€/MW)]]</f>
        <v>30080</v>
      </c>
      <c r="D10" s="49">
        <f>Table35[[#This Row],[A/C (€/MW)]]</f>
        <v>109063.73626373627</v>
      </c>
      <c r="E10" s="49">
        <f>Table35[[#This Row],[Other electric appliances (€/MW)]]</f>
        <v>29501.545454545452</v>
      </c>
      <c r="F10" s="49">
        <f>Table35[[#This Row],[Heat pumps (€/MW)]]</f>
        <v>466676.67991169979</v>
      </c>
      <c r="G10" s="49">
        <f>Table35[[#This Row],[Oil Burner (€/MW)]]</f>
        <v>6260.4794600938967</v>
      </c>
      <c r="H10" s="49">
        <f>Table35[[#This Row],[Burner (Pellet, wood,…) (€/MW)]]</f>
        <v>14553.654354469061</v>
      </c>
      <c r="I10" s="49">
        <f>'Fuel Prices excl. VAT'!B9</f>
        <v>4.9599999999999998E-2</v>
      </c>
      <c r="J10" s="49">
        <f>'Fuel Prices excl. VAT'!D9</f>
        <v>0.1739</v>
      </c>
      <c r="K10" s="49">
        <f>'Fuel Prices excl. VAT'!F9</f>
        <v>0.10789473684210525</v>
      </c>
      <c r="L10" s="49">
        <f>'Fuel Prices excl. VAT'!H9</f>
        <v>5.5437500000000001E-2</v>
      </c>
      <c r="M10" s="49">
        <f t="shared" si="9"/>
        <v>0.12429999999999999</v>
      </c>
      <c r="N10" s="49">
        <f t="shared" si="0"/>
        <v>5.8294736842105253E-2</v>
      </c>
      <c r="O10" s="49">
        <f t="shared" si="1"/>
        <v>5.8375000000000024E-3</v>
      </c>
      <c r="P10" s="49">
        <f>Table3[[#This Row],[Stove (€/MW)]]/'Utilisation by Sector'!$B$7</f>
        <v>50.824175824175825</v>
      </c>
      <c r="Q10" s="49">
        <f>Table3[[#This Row],[Electric Water heater (€/MW)]]/'Utilisation by Sector'!$C$7</f>
        <v>8.2637362637362646</v>
      </c>
      <c r="R10" s="49">
        <f>Table3[[#This Row],[A/C (€/MW)]]/'Utilisation by Sector'!$D$7</f>
        <v>11.456274817619356</v>
      </c>
      <c r="S10" s="49">
        <f>Table3[[#This Row],[Other electric appliances (€/MW)]]/'Utilisation by Sector'!$E$7</f>
        <v>4.4270026192295093</v>
      </c>
      <c r="T10" s="49">
        <f>Table3[[#This Row],[Heat pumps (€/MW)]]/'Utilisation by Sector'!$F$7</f>
        <v>32.680439769726874</v>
      </c>
      <c r="U10" s="49">
        <f>Table3[[#This Row],[Oil Burner (€/MW)]]/'Utilisation by Sector'!$G$7</f>
        <v>0.32880669433266263</v>
      </c>
      <c r="V10" s="49">
        <f>Table3[[#This Row],[Burner (Pellet, wood,…) (€/MW)]]/'Utilisation by Sector'!$H$7</f>
        <v>0.76437260265068596</v>
      </c>
      <c r="W10" s="49">
        <f t="shared" si="2"/>
        <v>175.12417582417584</v>
      </c>
      <c r="X10" s="130">
        <f t="shared" si="3"/>
        <v>132.56373626373627</v>
      </c>
      <c r="Y10" s="130">
        <f t="shared" si="4"/>
        <v>135.75627481761936</v>
      </c>
      <c r="Z10" s="130">
        <f t="shared" si="8"/>
        <v>128.72700261922949</v>
      </c>
      <c r="AA10" s="130">
        <f t="shared" si="5"/>
        <v>156.98043976972687</v>
      </c>
      <c r="AB10" s="130">
        <f t="shared" si="6"/>
        <v>58.623543536437914</v>
      </c>
      <c r="AC10" s="130">
        <f t="shared" si="7"/>
        <v>6.6018726026506878</v>
      </c>
      <c r="AD10" s="130">
        <f>Table3[[#This Row],[UCM
Stove
(€/MWh)]]*'W.F. at Appliance Level'!B10</f>
        <v>175.12417582417584</v>
      </c>
      <c r="AE10" s="130">
        <f>Table3[[#This Row],[UCM
Electric water heater
(€/MWh)]]*'W.F. at Appliance Level'!C10</f>
        <v>132.56373626373627</v>
      </c>
      <c r="AF10" s="130">
        <f>Table3[[#This Row],[UCM
A/C
(€/MWh)]]*'W.F. at Appliance Level'!D10+Table3[[#This Row],[UCM
Other elecric appliances
(€/MWh)]]*'W.F. at Appliance Level'!E10+Table3[[#This Row],[UCM
heat pumps
(€/MWh)]]*'W.F. at Appliance Level'!F10+Table3[[#This Row],[UCM
Oil burner
(€/MWh) ]]*'W.F. at Appliance Level'!G10+Table3[[#This Row],[UCM
Pellet/Wood burner
(€/MWh)]]*'W.F. at Appliance Level'!H10</f>
        <v>97.337826669132866</v>
      </c>
      <c r="AG10" s="140">
        <f>Table3[[#This Row],[UCM for cooking
(€/MWh)]]*'W.F. End-use Level'!B11+Table3[[#This Row],[UCM for water heating
(€/MWh)]]*'W.F. End-use Level'!C11+Table3[[#This Row],[UCM for space heating
(€/MWh)]]*'W.F. End-use Level'!D11</f>
        <v>103.98963579278166</v>
      </c>
    </row>
    <row r="11" spans="1:33" ht="15.75" x14ac:dyDescent="0.25">
      <c r="A11" s="15" t="s">
        <v>9</v>
      </c>
      <c r="B11" s="50">
        <f>Table35[[#This Row],[Stove (€/MW)]]</f>
        <v>272666.66666666669</v>
      </c>
      <c r="C11" s="50">
        <f>Table35[[#This Row],[Electric Water heater (€/MW)]]</f>
        <v>73669.666666666657</v>
      </c>
      <c r="D11" s="50">
        <f>Table35[[#This Row],[A/C (€/MW)]]</f>
        <v>137665.08677606346</v>
      </c>
      <c r="E11" s="50">
        <f>Table35[[#This Row],[Other electric appliances (€/MW)]]</f>
        <v>21909.579999999998</v>
      </c>
      <c r="F11" s="50">
        <f>Table35[[#This Row],[Heat pumps (€/MW)]]</f>
        <v>364239.75495103037</v>
      </c>
      <c r="G11" s="50">
        <f>Table35[[#This Row],[Oil Burner (€/MW)]]</f>
        <v>6260.4794600938967</v>
      </c>
      <c r="H11" s="50">
        <f>Table35[[#This Row],[Burner (Pellet, wood,…) (€/MW)]]</f>
        <v>105171.75608498839</v>
      </c>
      <c r="I11" s="50">
        <f>'Fuel Prices excl. VAT'!B10</f>
        <v>6.0299999999999999E-2</v>
      </c>
      <c r="J11" s="50">
        <f>'Fuel Prices excl. VAT'!D10</f>
        <v>0.1943</v>
      </c>
      <c r="K11" s="50">
        <f>'Fuel Prices excl. VAT'!F10</f>
        <v>0.13303473684210526</v>
      </c>
      <c r="L11" s="50">
        <f>'Fuel Prices excl. VAT'!H10</f>
        <v>5.6020833333333332E-2</v>
      </c>
      <c r="M11" s="50">
        <f t="shared" si="9"/>
        <v>0.13400000000000001</v>
      </c>
      <c r="N11" s="50">
        <f t="shared" si="0"/>
        <v>7.2734736842105269E-2</v>
      </c>
      <c r="O11" s="50">
        <f t="shared" si="1"/>
        <v>-4.2791666666666672E-3</v>
      </c>
      <c r="P11" s="50">
        <f>Table3[[#This Row],[Stove (€/MW)]]/'Utilisation by Sector'!$B$7</f>
        <v>74.908424908424919</v>
      </c>
      <c r="Q11" s="50">
        <f>Table3[[#This Row],[Electric Water heater (€/MW)]]/'Utilisation by Sector'!$C$7</f>
        <v>20.238919413919412</v>
      </c>
      <c r="R11" s="50">
        <f>Table3[[#This Row],[A/C (€/MW)]]/'Utilisation by Sector'!$D$7</f>
        <v>14.460618358830196</v>
      </c>
      <c r="S11" s="50">
        <f>Table3[[#This Row],[Other electric appliances (€/MW)]]/'Utilisation by Sector'!$E$7</f>
        <v>3.2877521008403359</v>
      </c>
      <c r="T11" s="50">
        <f>Table3[[#This Row],[Heat pumps (€/MW)]]/'Utilisation by Sector'!$F$7</f>
        <v>25.506985640828457</v>
      </c>
      <c r="U11" s="50">
        <f>Table3[[#This Row],[Oil Burner (€/MW)]]/'Utilisation by Sector'!$G$7</f>
        <v>0.32880669433266263</v>
      </c>
      <c r="V11" s="50">
        <f>Table3[[#This Row],[Burner (Pellet, wood,…) (€/MW)]]/'Utilisation by Sector'!$H$7</f>
        <v>5.5237266851359443</v>
      </c>
      <c r="W11" s="50">
        <f t="shared" si="2"/>
        <v>208.90842490842493</v>
      </c>
      <c r="X11" s="131">
        <f t="shared" si="3"/>
        <v>154.2389194139194</v>
      </c>
      <c r="Y11" s="131">
        <f t="shared" si="4"/>
        <v>148.4606183588302</v>
      </c>
      <c r="Z11" s="131">
        <f t="shared" si="8"/>
        <v>137.28775210084032</v>
      </c>
      <c r="AA11" s="131">
        <f t="shared" si="5"/>
        <v>159.50698564082845</v>
      </c>
      <c r="AB11" s="131">
        <f t="shared" si="6"/>
        <v>73.063543536437919</v>
      </c>
      <c r="AC11" s="131">
        <f t="shared" si="7"/>
        <v>1.2445600184692776</v>
      </c>
      <c r="AD11" s="131">
        <f>Table3[[#This Row],[UCM
Stove
(€/MWh)]]*'W.F. at Appliance Level'!B11</f>
        <v>208.90842490842493</v>
      </c>
      <c r="AE11" s="131">
        <f>Table3[[#This Row],[UCM
Electric water heater
(€/MWh)]]*'W.F. at Appliance Level'!C11</f>
        <v>154.2389194139194</v>
      </c>
      <c r="AF11" s="131">
        <f>Table3[[#This Row],[UCM
A/C
(€/MWh)]]*'W.F. at Appliance Level'!D11+Table3[[#This Row],[UCM
Other elecric appliances
(€/MWh)]]*'W.F. at Appliance Level'!E11+Table3[[#This Row],[UCM
heat pumps
(€/MWh)]]*'W.F. at Appliance Level'!F11+Table3[[#This Row],[UCM
Oil burner
(€/MWh) ]]*'W.F. at Appliance Level'!G11+Table3[[#This Row],[UCM
Pellet/Wood burner
(€/MWh)]]*'W.F. at Appliance Level'!H11</f>
        <v>103.91269193108124</v>
      </c>
      <c r="AG11" s="145">
        <f>Table3[[#This Row],[UCM for cooking
(€/MWh)]]*'W.F. End-use Level'!B12+Table3[[#This Row],[UCM for water heating
(€/MWh)]]*'W.F. End-use Level'!C12+Table3[[#This Row],[UCM for space heating
(€/MWh)]]*'W.F. End-use Level'!D12</f>
        <v>119.3186012270103</v>
      </c>
    </row>
    <row r="12" spans="1:33" ht="15.75" x14ac:dyDescent="0.25">
      <c r="A12" s="15" t="s">
        <v>10</v>
      </c>
      <c r="B12" s="49">
        <f>Table35[[#This Row],[Stove (€/MW)]]</f>
        <v>172927.17889908256</v>
      </c>
      <c r="C12" s="49">
        <f>Table35[[#This Row],[Electric Water heater (€/MW)]]</f>
        <v>41066.570048309179</v>
      </c>
      <c r="D12" s="49">
        <f>Table35[[#This Row],[A/C (€/MW)]]</f>
        <v>101128.10387193602</v>
      </c>
      <c r="E12" s="49">
        <f>Table35[[#This Row],[Other electric appliances (€/MW)]]</f>
        <v>14424.669222222225</v>
      </c>
      <c r="F12" s="49">
        <f>Table35[[#This Row],[Heat pumps (€/MW)]]</f>
        <v>364239.75495103037</v>
      </c>
      <c r="G12" s="49">
        <f>Table35[[#This Row],[Oil Burner (€/MW)]]</f>
        <v>6260.4794600938967</v>
      </c>
      <c r="H12" s="49">
        <f>Table35[[#This Row],[Burner (Pellet, wood,…) (€/MW)]]</f>
        <v>105171.75608498839</v>
      </c>
      <c r="I12" s="49">
        <f>'Fuel Prices excl. VAT'!B11</f>
        <v>5.5100000000000003E-2</v>
      </c>
      <c r="J12" s="49">
        <f>'Fuel Prices excl. VAT'!D11</f>
        <v>0.1898</v>
      </c>
      <c r="K12" s="49">
        <f>'Fuel Prices excl. VAT'!F11</f>
        <v>7.567368421052631E-2</v>
      </c>
      <c r="L12" s="49">
        <f>'Fuel Prices excl. VAT'!H11</f>
        <v>4.4999999999999998E-2</v>
      </c>
      <c r="M12" s="49">
        <f t="shared" si="9"/>
        <v>0.13469999999999999</v>
      </c>
      <c r="N12" s="49">
        <f t="shared" si="0"/>
        <v>2.0573684210526307E-2</v>
      </c>
      <c r="O12" s="49">
        <f t="shared" si="1"/>
        <v>-1.0100000000000005E-2</v>
      </c>
      <c r="P12" s="49">
        <f>Table3[[#This Row],[Stove (€/MW)]]/'Utilisation by Sector'!$B$7</f>
        <v>47.507466730517187</v>
      </c>
      <c r="Q12" s="49">
        <f>Table3[[#This Row],[Electric Water heater (€/MW)]]/'Utilisation by Sector'!$C$7</f>
        <v>11.282024738546477</v>
      </c>
      <c r="R12" s="49">
        <f>Table3[[#This Row],[A/C (€/MW)]]/'Utilisation by Sector'!$D$7</f>
        <v>10.622699986547902</v>
      </c>
      <c r="S12" s="49">
        <f>Table3[[#This Row],[Other electric appliances (€/MW)]]/'Utilisation by Sector'!$E$7</f>
        <v>2.1645662098172607</v>
      </c>
      <c r="T12" s="49">
        <f>Table3[[#This Row],[Heat pumps (€/MW)]]/'Utilisation by Sector'!$F$7</f>
        <v>25.506985640828457</v>
      </c>
      <c r="U12" s="49">
        <f>Table3[[#This Row],[Oil Burner (€/MW)]]/'Utilisation by Sector'!$G$7</f>
        <v>0.32880669433266263</v>
      </c>
      <c r="V12" s="49">
        <f>Table3[[#This Row],[Burner (Pellet, wood,…) (€/MW)]]/'Utilisation by Sector'!$H$7</f>
        <v>5.5237266851359443</v>
      </c>
      <c r="W12" s="49">
        <f t="shared" si="2"/>
        <v>182.20746673051718</v>
      </c>
      <c r="X12" s="130">
        <f t="shared" si="3"/>
        <v>145.98202473854647</v>
      </c>
      <c r="Y12" s="130">
        <f t="shared" si="4"/>
        <v>145.32269998654789</v>
      </c>
      <c r="Z12" s="130">
        <f t="shared" si="8"/>
        <v>136.86456620981724</v>
      </c>
      <c r="AA12" s="130">
        <f t="shared" si="5"/>
        <v>160.20698564082844</v>
      </c>
      <c r="AB12" s="130">
        <f t="shared" si="6"/>
        <v>20.902490904858968</v>
      </c>
      <c r="AC12" s="130">
        <f t="shared" si="7"/>
        <v>-4.5762733148640606</v>
      </c>
      <c r="AD12" s="130">
        <f>Table3[[#This Row],[UCM
Stove
(€/MWh)]]*'W.F. at Appliance Level'!B12</f>
        <v>182.20746673051718</v>
      </c>
      <c r="AE12" s="130">
        <f>Table3[[#This Row],[UCM
Electric water heater
(€/MWh)]]*'W.F. at Appliance Level'!C12</f>
        <v>145.98202473854647</v>
      </c>
      <c r="AF12" s="130">
        <f>Table3[[#This Row],[UCM
A/C
(€/MWh)]]*'W.F. at Appliance Level'!D12+Table3[[#This Row],[UCM
Other elecric appliances
(€/MWh)]]*'W.F. at Appliance Level'!E12+Table3[[#This Row],[UCM
heat pumps
(€/MWh)]]*'W.F. at Appliance Level'!F12+Table3[[#This Row],[UCM
Oil burner
(€/MWh) ]]*'W.F. at Appliance Level'!G12+Table3[[#This Row],[UCM
Pellet/Wood burner
(€/MWh)]]*'W.F. at Appliance Level'!H12</f>
        <v>91.744093885437707</v>
      </c>
      <c r="AG12" s="140">
        <f>Table3[[#This Row],[UCM for cooking
(€/MWh)]]*'W.F. End-use Level'!B13+Table3[[#This Row],[UCM for water heating
(€/MWh)]]*'W.F. End-use Level'!C13+Table3[[#This Row],[UCM for space heating
(€/MWh)]]*'W.F. End-use Level'!D13</f>
        <v>110.96486444626737</v>
      </c>
    </row>
    <row r="13" spans="1:33" ht="15.75" x14ac:dyDescent="0.25">
      <c r="A13" s="15" t="s">
        <v>11</v>
      </c>
      <c r="B13" s="50">
        <f>Table35[[#This Row],[Stove (€/MW)]]</f>
        <v>172927.17889908256</v>
      </c>
      <c r="C13" s="50">
        <f>Table35[[#This Row],[Electric Water heater (€/MW)]]</f>
        <v>71777.777777777766</v>
      </c>
      <c r="D13" s="50">
        <f>Table35[[#This Row],[A/C (€/MW)]]</f>
        <v>143957.2585978836</v>
      </c>
      <c r="E13" s="50">
        <f>Table35[[#This Row],[Other electric appliances (€/MW)]]</f>
        <v>18433.333333333336</v>
      </c>
      <c r="F13" s="50">
        <f>Table35[[#This Row],[Heat pumps (€/MW)]]</f>
        <v>371866.66666666669</v>
      </c>
      <c r="G13" s="50">
        <f>Table35[[#This Row],[Oil Burner (€/MW)]]</f>
        <v>16062.5</v>
      </c>
      <c r="H13" s="50">
        <f>Table35[[#This Row],[Burner (Pellet, wood,…) (€/MW)]]</f>
        <v>260224.60623593698</v>
      </c>
      <c r="I13" s="50">
        <f>'Fuel Prices excl. VAT'!B12</f>
        <v>6.2899999999999998E-2</v>
      </c>
      <c r="J13" s="50">
        <f>'Fuel Prices excl. VAT'!D12</f>
        <v>0.1857</v>
      </c>
      <c r="K13" s="50">
        <f>'Fuel Prices excl. VAT'!F12</f>
        <v>0.11926315789473685</v>
      </c>
      <c r="L13" s="50">
        <f>'Fuel Prices excl. VAT'!H12</f>
        <v>4.4999999999999998E-2</v>
      </c>
      <c r="M13" s="50">
        <f>J13-I13</f>
        <v>0.12280000000000001</v>
      </c>
      <c r="N13" s="50">
        <f t="shared" si="0"/>
        <v>5.6363157894736851E-2</v>
      </c>
      <c r="O13" s="50">
        <f t="shared" si="1"/>
        <v>-1.7899999999999999E-2</v>
      </c>
      <c r="P13" s="50">
        <f>Table3[[#This Row],[Stove (€/MW)]]/'Utilisation by Sector'!$B$7</f>
        <v>47.507466730517187</v>
      </c>
      <c r="Q13" s="50">
        <f>Table3[[#This Row],[Electric Water heater (€/MW)]]/'Utilisation by Sector'!$C$7</f>
        <v>19.719169719169717</v>
      </c>
      <c r="R13" s="50">
        <f>Table3[[#This Row],[A/C (€/MW)]]/'Utilisation by Sector'!$D$7</f>
        <v>15.121560777088613</v>
      </c>
      <c r="S13" s="50">
        <f>Table3[[#This Row],[Other electric appliances (€/MW)]]/'Utilisation by Sector'!$E$7</f>
        <v>2.7661064425770312</v>
      </c>
      <c r="T13" s="50">
        <f>Table3[[#This Row],[Heat pumps (€/MW)]]/'Utilisation by Sector'!$F$7</f>
        <v>26.041083099906629</v>
      </c>
      <c r="U13" s="50">
        <f>Table3[[#This Row],[Oil Burner (€/MW)]]/'Utilisation by Sector'!$G$7</f>
        <v>0.84361869747899154</v>
      </c>
      <c r="V13" s="50">
        <f>Table3[[#This Row],[Burner (Pellet, wood,…) (€/MW)]]/'Utilisation by Sector'!$H$7</f>
        <v>13.667258730879043</v>
      </c>
      <c r="W13" s="50">
        <f t="shared" si="2"/>
        <v>170.30746673051721</v>
      </c>
      <c r="X13" s="131">
        <f t="shared" si="3"/>
        <v>142.51916971916972</v>
      </c>
      <c r="Y13" s="131">
        <f t="shared" si="4"/>
        <v>137.92156077708862</v>
      </c>
      <c r="Z13" s="131">
        <f t="shared" si="8"/>
        <v>125.56610644257704</v>
      </c>
      <c r="AA13" s="131">
        <f t="shared" si="5"/>
        <v>148.84108309990665</v>
      </c>
      <c r="AB13" s="131">
        <f t="shared" si="6"/>
        <v>57.206776592215846</v>
      </c>
      <c r="AC13" s="131">
        <f t="shared" si="7"/>
        <v>-4.2327412691209556</v>
      </c>
      <c r="AD13" s="131">
        <f>Table3[[#This Row],[UCM
Stove
(€/MWh)]]*'W.F. at Appliance Level'!B13</f>
        <v>170.30746673051721</v>
      </c>
      <c r="AE13" s="131">
        <f>Table3[[#This Row],[UCM
Electric water heater
(€/MWh)]]*'W.F. at Appliance Level'!C13</f>
        <v>142.51916971916972</v>
      </c>
      <c r="AF13" s="131">
        <f>Table3[[#This Row],[UCM
A/C
(€/MWh)]]*'W.F. at Appliance Level'!D13+Table3[[#This Row],[UCM
Other elecric appliances
(€/MWh)]]*'W.F. at Appliance Level'!E13+Table3[[#This Row],[UCM
heat pumps
(€/MWh)]]*'W.F. at Appliance Level'!F13+Table3[[#This Row],[UCM
Oil burner
(€/MWh) ]]*'W.F. at Appliance Level'!G13+Table3[[#This Row],[UCM
Pellet/Wood burner
(€/MWh)]]*'W.F. at Appliance Level'!H13</f>
        <v>93.060557128533446</v>
      </c>
      <c r="AG13" s="145">
        <f>Table3[[#This Row],[UCM for cooking
(€/MWh)]]*'W.F. End-use Level'!B14+Table3[[#This Row],[UCM for water heating
(€/MWh)]]*'W.F. End-use Level'!C14+Table3[[#This Row],[UCM for space heating
(€/MWh)]]*'W.F. End-use Level'!D14</f>
        <v>104.5805786707208</v>
      </c>
    </row>
    <row r="14" spans="1:33" ht="15.75" x14ac:dyDescent="0.25">
      <c r="A14" s="15" t="s">
        <v>12</v>
      </c>
      <c r="B14" s="49">
        <f>Table35[[#This Row],[Stove (€/MW)]]</f>
        <v>157427.92792792793</v>
      </c>
      <c r="C14" s="49">
        <f>Table35[[#This Row],[Electric Water heater (€/MW)]]</f>
        <v>43027.5</v>
      </c>
      <c r="D14" s="49">
        <f>Table35[[#This Row],[A/C (€/MW)]]</f>
        <v>159155.959752322</v>
      </c>
      <c r="E14" s="49">
        <f>Table35[[#This Row],[Other electric appliances (€/MW)]]</f>
        <v>14785.336538461539</v>
      </c>
      <c r="F14" s="49">
        <f>Table35[[#This Row],[Heat pumps (€/MW)]]</f>
        <v>364239.75495103037</v>
      </c>
      <c r="G14" s="49">
        <f>Table35[[#This Row],[Oil Burner (€/MW)]]</f>
        <v>36343.079494316153</v>
      </c>
      <c r="H14" s="49">
        <f>Table35[[#This Row],[Burner (Pellet, wood,…) (€/MW)]]</f>
        <v>47553.759398496237</v>
      </c>
      <c r="I14" s="49">
        <f>'Fuel Prices excl. VAT'!B13</f>
        <v>2.87E-2</v>
      </c>
      <c r="J14" s="49">
        <f>'Fuel Prices excl. VAT'!D13</f>
        <v>0.10580000000000001</v>
      </c>
      <c r="K14" s="49">
        <f>'Fuel Prices excl. VAT'!F13</f>
        <v>7.5403082605298669E-2</v>
      </c>
      <c r="L14" s="49">
        <f>'Fuel Prices excl. VAT'!H13</f>
        <v>4.4999999999999998E-2</v>
      </c>
      <c r="M14" s="49">
        <f>J14-I14</f>
        <v>7.7100000000000002E-2</v>
      </c>
      <c r="N14" s="49">
        <f t="shared" si="0"/>
        <v>4.6703082605298665E-2</v>
      </c>
      <c r="O14" s="49">
        <f t="shared" si="1"/>
        <v>1.6299999999999999E-2</v>
      </c>
      <c r="P14" s="49">
        <f>Table3[[#This Row],[Stove (€/MW)]]/'Utilisation by Sector'!$B$7</f>
        <v>43.249430749430751</v>
      </c>
      <c r="Q14" s="49">
        <f>Table3[[#This Row],[Electric Water heater (€/MW)]]/'Utilisation by Sector'!$C$7</f>
        <v>11.820741758241759</v>
      </c>
      <c r="R14" s="49">
        <f>Table3[[#This Row],[A/C (€/MW)]]/'Utilisation by Sector'!$D$7</f>
        <v>16.718062999193489</v>
      </c>
      <c r="S14" s="49">
        <f>Table3[[#This Row],[Other electric appliances (€/MW)]]/'Utilisation by Sector'!$E$7</f>
        <v>2.2186879559516113</v>
      </c>
      <c r="T14" s="49">
        <f>Table3[[#This Row],[Heat pumps (€/MW)]]/'Utilisation by Sector'!$F$7</f>
        <v>25.506985640828457</v>
      </c>
      <c r="U14" s="49">
        <f>Table3[[#This Row],[Oil Burner (€/MW)]]/'Utilisation by Sector'!$G$7</f>
        <v>1.908775183525008</v>
      </c>
      <c r="V14" s="49">
        <f>Table3[[#This Row],[Burner (Pellet, wood,…) (€/MW)]]/'Utilisation by Sector'!$H$7</f>
        <v>2.4975713969798443</v>
      </c>
      <c r="W14" s="49">
        <f t="shared" si="2"/>
        <v>120.34943074943075</v>
      </c>
      <c r="X14" s="130">
        <f t="shared" si="3"/>
        <v>88.920741758241775</v>
      </c>
      <c r="Y14" s="130">
        <f t="shared" si="4"/>
        <v>93.818062999193501</v>
      </c>
      <c r="Z14" s="130">
        <f t="shared" si="8"/>
        <v>79.318687955951617</v>
      </c>
      <c r="AA14" s="130">
        <f t="shared" si="5"/>
        <v>102.60698564082847</v>
      </c>
      <c r="AB14" s="130">
        <f t="shared" si="6"/>
        <v>48.611857788823677</v>
      </c>
      <c r="AC14" s="130">
        <f t="shared" si="7"/>
        <v>18.797571396979841</v>
      </c>
      <c r="AD14" s="130">
        <f>Table3[[#This Row],[UCM
Stove
(€/MWh)]]*'W.F. at Appliance Level'!B14</f>
        <v>120.34943074943075</v>
      </c>
      <c r="AE14" s="130">
        <f>Table3[[#This Row],[UCM
Electric water heater
(€/MWh)]]*'W.F. at Appliance Level'!C14</f>
        <v>88.920741758241775</v>
      </c>
      <c r="AF14" s="130">
        <f>Table3[[#This Row],[UCM
A/C
(€/MWh)]]*'W.F. at Appliance Level'!D14+Table3[[#This Row],[UCM
Other elecric appliances
(€/MWh)]]*'W.F. at Appliance Level'!E14+Table3[[#This Row],[UCM
heat pumps
(€/MWh)]]*'W.F. at Appliance Level'!F14+Table3[[#This Row],[UCM
Oil burner
(€/MWh) ]]*'W.F. at Appliance Level'!G14+Table3[[#This Row],[UCM
Pellet/Wood burner
(€/MWh)]]*'W.F. at Appliance Level'!H14</f>
        <v>68.630633156355429</v>
      </c>
      <c r="AG14" s="140">
        <f>Table3[[#This Row],[UCM for cooking
(€/MWh)]]*'W.F. End-use Level'!B15+Table3[[#This Row],[UCM for water heating
(€/MWh)]]*'W.F. End-use Level'!C15+Table3[[#This Row],[UCM for space heating
(€/MWh)]]*'W.F. End-use Level'!D15</f>
        <v>75.952391927955517</v>
      </c>
    </row>
    <row r="15" spans="1:33" ht="15.75" x14ac:dyDescent="0.25">
      <c r="A15" s="15" t="s">
        <v>13</v>
      </c>
      <c r="B15" s="50">
        <f>Table35[[#This Row],[Stove (€/MW)]]</f>
        <v>117747.45265151514</v>
      </c>
      <c r="C15" s="50">
        <f>Table35[[#This Row],[Electric Water heater (€/MW)]]</f>
        <v>59707.5</v>
      </c>
      <c r="D15" s="50">
        <f>Table35[[#This Row],[A/C (€/MW)]]</f>
        <v>89178.51725445583</v>
      </c>
      <c r="E15" s="50">
        <f>Table35[[#This Row],[Other electric appliances (€/MW)]]</f>
        <v>10751.5</v>
      </c>
      <c r="F15" s="50">
        <f>Table35[[#This Row],[Heat pumps (€/MW)]]</f>
        <v>243765.02976190479</v>
      </c>
      <c r="G15" s="50">
        <f>Table35[[#This Row],[Oil Burner (€/MW)]]</f>
        <v>39007.148677248675</v>
      </c>
      <c r="H15" s="50">
        <f>Table35[[#This Row],[Burner (Pellet, wood,…) (€/MW)]]</f>
        <v>58902.005208333328</v>
      </c>
      <c r="I15" s="50">
        <f>'Fuel Prices excl. VAT'!B14</f>
        <v>2.5399999999999999E-2</v>
      </c>
      <c r="J15" s="50">
        <f>'Fuel Prices excl. VAT'!D14</f>
        <v>0.10059999999999999</v>
      </c>
      <c r="K15" s="50">
        <f>'Fuel Prices excl. VAT'!F14</f>
        <v>0.10156785966718833</v>
      </c>
      <c r="L15" s="50">
        <f>'Fuel Prices excl. VAT'!H14</f>
        <v>4.4999999999999998E-2</v>
      </c>
      <c r="M15" s="50">
        <f>J15-I15</f>
        <v>7.5199999999999989E-2</v>
      </c>
      <c r="N15" s="50">
        <f t="shared" si="0"/>
        <v>7.6167859667188337E-2</v>
      </c>
      <c r="O15" s="50">
        <f t="shared" si="1"/>
        <v>1.9599999999999999E-2</v>
      </c>
      <c r="P15" s="50">
        <f>Table3[[#This Row],[Stove (€/MW)]]/'Utilisation by Sector'!$B$7</f>
        <v>32.348201277888776</v>
      </c>
      <c r="Q15" s="50">
        <f>Table3[[#This Row],[Electric Water heater (€/MW)]]/'Utilisation by Sector'!$C$7</f>
        <v>16.403159340659339</v>
      </c>
      <c r="R15" s="50">
        <f>Table3[[#This Row],[A/C (€/MW)]]/'Utilisation by Sector'!$D$7</f>
        <v>9.3674913082411582</v>
      </c>
      <c r="S15" s="50">
        <f>Table3[[#This Row],[Other electric appliances (€/MW)]]/'Utilisation by Sector'!$E$7</f>
        <v>1.6133703481392556</v>
      </c>
      <c r="T15" s="50">
        <f>Table3[[#This Row],[Heat pumps (€/MW)]]/'Utilisation by Sector'!$F$7</f>
        <v>17.070380235427507</v>
      </c>
      <c r="U15" s="50">
        <f>Table3[[#This Row],[Oil Burner (€/MW)]]/'Utilisation by Sector'!$G$7</f>
        <v>2.0486947834689428</v>
      </c>
      <c r="V15" s="50">
        <f>Table3[[#This Row],[Burner (Pellet, wood,…) (€/MW)]]/'Utilisation by Sector'!$H$7</f>
        <v>3.0935927105217083</v>
      </c>
      <c r="W15" s="50">
        <f t="shared" si="2"/>
        <v>107.54820127788877</v>
      </c>
      <c r="X15" s="131">
        <f t="shared" si="3"/>
        <v>91.603159340659332</v>
      </c>
      <c r="Y15" s="131">
        <f t="shared" si="4"/>
        <v>84.567491308241145</v>
      </c>
      <c r="Z15" s="131">
        <f t="shared" si="8"/>
        <v>76.813370348139244</v>
      </c>
      <c r="AA15" s="131">
        <f t="shared" si="5"/>
        <v>92.270380235427496</v>
      </c>
      <c r="AB15" s="131">
        <f t="shared" si="6"/>
        <v>78.216554450657284</v>
      </c>
      <c r="AC15" s="131">
        <f t="shared" si="7"/>
        <v>22.693592710521706</v>
      </c>
      <c r="AD15" s="131">
        <f>Table3[[#This Row],[UCM
Stove
(€/MWh)]]*'W.F. at Appliance Level'!B15</f>
        <v>107.54820127788877</v>
      </c>
      <c r="AE15" s="131">
        <f>Table3[[#This Row],[UCM
Electric water heater
(€/MWh)]]*'W.F. at Appliance Level'!C15</f>
        <v>91.603159340659332</v>
      </c>
      <c r="AF15" s="131">
        <f>Table3[[#This Row],[UCM
A/C
(€/MWh)]]*'W.F. at Appliance Level'!D15+Table3[[#This Row],[UCM
Other elecric appliances
(€/MWh)]]*'W.F. at Appliance Level'!E15+Table3[[#This Row],[UCM
heat pumps
(€/MWh)]]*'W.F. at Appliance Level'!F15+Table3[[#This Row],[UCM
Oil burner
(€/MWh) ]]*'W.F. at Appliance Level'!G15+Table3[[#This Row],[UCM
Pellet/Wood burner
(€/MWh)]]*'W.F. at Appliance Level'!H15</f>
        <v>70.912277810597374</v>
      </c>
      <c r="AG15" s="145">
        <f>Table3[[#This Row],[UCM for cooking
(€/MWh)]]*'W.F. End-use Level'!B16+Table3[[#This Row],[UCM for water heating
(€/MWh)]]*'W.F. End-use Level'!C16+Table3[[#This Row],[UCM for space heating
(€/MWh)]]*'W.F. End-use Level'!D16</f>
        <v>83.651219305157611</v>
      </c>
    </row>
    <row r="16" spans="1:33" ht="15.75" x14ac:dyDescent="0.25">
      <c r="A16" s="15" t="s">
        <v>14</v>
      </c>
      <c r="B16" s="49">
        <f>Table35[[#This Row],[Stove (€/MW)]]</f>
        <v>161842.1329057939</v>
      </c>
      <c r="C16" s="49">
        <f>Table35[[#This Row],[Electric Water heater (€/MW)]]</f>
        <v>45145.069444444445</v>
      </c>
      <c r="D16" s="49">
        <f>Table35[[#This Row],[A/C (€/MW)]]</f>
        <v>128259.09006356858</v>
      </c>
      <c r="E16" s="49">
        <f>Table35[[#This Row],[Other electric appliances (€/MW)]]</f>
        <v>19601.25</v>
      </c>
      <c r="F16" s="49">
        <f>Table35[[#This Row],[Heat pumps (€/MW)]]</f>
        <v>512669.38789232972</v>
      </c>
      <c r="G16" s="49">
        <f>Table35[[#This Row],[Oil Burner (€/MW)]]</f>
        <v>36343.079494316153</v>
      </c>
      <c r="H16" s="49">
        <f>Table35[[#This Row],[Burner (Pellet, wood,…) (€/MW)]]</f>
        <v>35218.222222222226</v>
      </c>
      <c r="I16" s="49">
        <f>'Fuel Prices excl. VAT'!B15</f>
        <v>2.75E-2</v>
      </c>
      <c r="J16" s="49">
        <f>'Fuel Prices excl. VAT'!D15</f>
        <v>7.9600000000000004E-2</v>
      </c>
      <c r="K16" s="49">
        <f>'Fuel Prices excl. VAT'!F15</f>
        <v>0.10444507833649981</v>
      </c>
      <c r="L16" s="49">
        <f>'Fuel Prices excl. VAT'!H15</f>
        <v>3.2125000000000001E-2</v>
      </c>
      <c r="M16" s="49">
        <f t="shared" si="9"/>
        <v>5.2100000000000007E-2</v>
      </c>
      <c r="N16" s="49">
        <f t="shared" si="0"/>
        <v>7.6945078336499814E-2</v>
      </c>
      <c r="O16" s="49">
        <f t="shared" si="1"/>
        <v>4.6250000000000006E-3</v>
      </c>
      <c r="P16" s="49">
        <f>Table3[[#This Row],[Stove (€/MW)]]/'Utilisation by Sector'!$B$7</f>
        <v>44.462124424668652</v>
      </c>
      <c r="Q16" s="49">
        <f>Table3[[#This Row],[Electric Water heater (€/MW)]]/'Utilisation by Sector'!$C$7</f>
        <v>12.402491605616605</v>
      </c>
      <c r="R16" s="49">
        <f>Table3[[#This Row],[A/C (€/MW)]]/'Utilisation by Sector'!$D$7</f>
        <v>13.47259349407233</v>
      </c>
      <c r="S16" s="49">
        <f>Table3[[#This Row],[Other electric appliances (€/MW)]]/'Utilisation by Sector'!$E$7</f>
        <v>2.9413640456182475</v>
      </c>
      <c r="T16" s="49">
        <f>Table3[[#This Row],[Heat pumps (€/MW)]]/'Utilisation by Sector'!$F$7</f>
        <v>35.90121763951889</v>
      </c>
      <c r="U16" s="49">
        <f>Table3[[#This Row],[Oil Burner (€/MW)]]/'Utilisation by Sector'!$G$7</f>
        <v>1.908775183525008</v>
      </c>
      <c r="V16" s="49">
        <f>Table3[[#This Row],[Burner (Pellet, wood,…) (€/MW)]]/'Utilisation by Sector'!$H$7</f>
        <v>1.8496965452847809</v>
      </c>
      <c r="W16" s="49">
        <f t="shared" si="2"/>
        <v>96.562124424668667</v>
      </c>
      <c r="X16" s="130">
        <f t="shared" si="3"/>
        <v>64.502491605616612</v>
      </c>
      <c r="Y16" s="130">
        <f t="shared" si="4"/>
        <v>65.572593494072336</v>
      </c>
      <c r="Z16" s="130">
        <f t="shared" si="8"/>
        <v>55.041364045618259</v>
      </c>
      <c r="AA16" s="130">
        <f t="shared" si="5"/>
        <v>88.001217639518899</v>
      </c>
      <c r="AB16" s="130">
        <f t="shared" si="6"/>
        <v>78.853853520024828</v>
      </c>
      <c r="AC16" s="130">
        <f t="shared" si="7"/>
        <v>6.4746965452847816</v>
      </c>
      <c r="AD16" s="130">
        <f>Table3[[#This Row],[UCM
Stove
(€/MWh)]]*'W.F. at Appliance Level'!B16</f>
        <v>96.562124424668667</v>
      </c>
      <c r="AE16" s="130">
        <f>Table3[[#This Row],[UCM
Electric water heater
(€/MWh)]]*'W.F. at Appliance Level'!C16</f>
        <v>64.502491605616612</v>
      </c>
      <c r="AF16" s="130">
        <f>Table3[[#This Row],[UCM
A/C
(€/MWh)]]*'W.F. at Appliance Level'!D16+Table3[[#This Row],[UCM
Other elecric appliances
(€/MWh)]]*'W.F. at Appliance Level'!E16+Table3[[#This Row],[UCM
heat pumps
(€/MWh)]]*'W.F. at Appliance Level'!F16+Table3[[#This Row],[UCM
Oil burner
(€/MWh) ]]*'W.F. at Appliance Level'!G16+Table3[[#This Row],[UCM
Pellet/Wood burner
(€/MWh)]]*'W.F. at Appliance Level'!H16</f>
        <v>58.788745048903827</v>
      </c>
      <c r="AG16" s="140">
        <f>Table3[[#This Row],[UCM for cooking
(€/MWh)]]*'W.F. End-use Level'!B17+Table3[[#This Row],[UCM for water heating
(€/MWh)]]*'W.F. End-use Level'!C17+Table3[[#This Row],[UCM for space heating
(€/MWh)]]*'W.F. End-use Level'!D17</f>
        <v>61.85254686538326</v>
      </c>
    </row>
    <row r="17" spans="1:33" ht="15.75" x14ac:dyDescent="0.25">
      <c r="A17" s="15" t="s">
        <v>15</v>
      </c>
      <c r="B17" s="50">
        <f>Table35[[#This Row],[Stove (€/MW)]]</f>
        <v>138795</v>
      </c>
      <c r="C17" s="50">
        <f>Table35[[#This Row],[Electric Water heater (€/MW)]]</f>
        <v>26930.75</v>
      </c>
      <c r="D17" s="50">
        <f>Table35[[#This Row],[A/C (€/MW)]]</f>
        <v>56742.490053050402</v>
      </c>
      <c r="E17" s="50">
        <f>Table35[[#This Row],[Other electric appliances (€/MW)]]</f>
        <v>7074.6666666666661</v>
      </c>
      <c r="F17" s="50">
        <f>Table35[[#This Row],[Heat pumps (€/MW)]]</f>
        <v>578490.90909090918</v>
      </c>
      <c r="G17" s="50">
        <f>Table35[[#This Row],[Oil Burner (€/MW)]]</f>
        <v>245446.32675559475</v>
      </c>
      <c r="H17" s="50">
        <f>Table35[[#This Row],[Burner (Pellet, wood,…) (€/MW)]]</f>
        <v>113006.8253968254</v>
      </c>
      <c r="I17" s="50">
        <f>'Fuel Prices excl. VAT'!B16</f>
        <v>3.39E-2</v>
      </c>
      <c r="J17" s="50">
        <f>'Fuel Prices excl. VAT'!D16</f>
        <v>0.11849999999999999</v>
      </c>
      <c r="K17" s="50">
        <f>'Fuel Prices excl. VAT'!F16</f>
        <v>8.1602857228249503E-2</v>
      </c>
      <c r="L17" s="50">
        <f>'Fuel Prices excl. VAT'!H16</f>
        <v>4.4999999999999998E-2</v>
      </c>
      <c r="M17" s="50">
        <f t="shared" si="9"/>
        <v>8.4599999999999995E-2</v>
      </c>
      <c r="N17" s="50">
        <f t="shared" si="0"/>
        <v>4.7702857228249504E-2</v>
      </c>
      <c r="O17" s="50">
        <f t="shared" si="1"/>
        <v>1.1099999999999999E-2</v>
      </c>
      <c r="P17" s="50">
        <f>Table3[[#This Row],[Stove (€/MW)]]/'Utilisation by Sector'!$B$7</f>
        <v>38.130494505494504</v>
      </c>
      <c r="Q17" s="50">
        <f>Table3[[#This Row],[Electric Water heater (€/MW)]]/'Utilisation by Sector'!$C$7</f>
        <v>7.3985576923076923</v>
      </c>
      <c r="R17" s="50">
        <f>Table3[[#This Row],[A/C (€/MW)]]/'Utilisation by Sector'!$D$7</f>
        <v>5.9603455938078156</v>
      </c>
      <c r="S17" s="50">
        <f>Table3[[#This Row],[Other electric appliances (€/MW)]]/'Utilisation by Sector'!$E$7</f>
        <v>1.061624649859944</v>
      </c>
      <c r="T17" s="50">
        <f>Table3[[#This Row],[Heat pumps (€/MW)]]/'Utilisation by Sector'!$F$7</f>
        <v>40.510567863509046</v>
      </c>
      <c r="U17" s="50">
        <f>Table3[[#This Row],[Oil Burner (€/MW)]]/'Utilisation by Sector'!$G$7</f>
        <v>12.891088590104767</v>
      </c>
      <c r="V17" s="50">
        <f>Table3[[#This Row],[Burner (Pellet, wood,…) (€/MW)]]/'Utilisation by Sector'!$H$7</f>
        <v>5.9352324263038554</v>
      </c>
      <c r="W17" s="50">
        <f t="shared" si="2"/>
        <v>122.73049450549451</v>
      </c>
      <c r="X17" s="131">
        <f t="shared" si="3"/>
        <v>91.998557692307685</v>
      </c>
      <c r="Y17" s="131">
        <f t="shared" si="4"/>
        <v>90.56034559380781</v>
      </c>
      <c r="Z17" s="131">
        <f t="shared" si="8"/>
        <v>85.661624649859945</v>
      </c>
      <c r="AA17" s="131">
        <f t="shared" si="5"/>
        <v>125.11056786350903</v>
      </c>
      <c r="AB17" s="131">
        <f t="shared" si="6"/>
        <v>60.593945818354271</v>
      </c>
      <c r="AC17" s="131">
        <f t="shared" si="7"/>
        <v>17.035232426303853</v>
      </c>
      <c r="AD17" s="131">
        <f>Table3[[#This Row],[UCM
Stove
(€/MWh)]]*'W.F. at Appliance Level'!B17</f>
        <v>122.73049450549451</v>
      </c>
      <c r="AE17" s="131">
        <f>Table3[[#This Row],[UCM
Electric water heater
(€/MWh)]]*'W.F. at Appliance Level'!C17</f>
        <v>91.998557692307685</v>
      </c>
      <c r="AF17" s="131">
        <f>Table3[[#This Row],[UCM
A/C
(€/MWh)]]*'W.F. at Appliance Level'!D17+Table3[[#This Row],[UCM
Other elecric appliances
(€/MWh)]]*'W.F. at Appliance Level'!E17+Table3[[#This Row],[UCM
heat pumps
(€/MWh)]]*'W.F. at Appliance Level'!F17+Table3[[#This Row],[UCM
Oil burner
(€/MWh) ]]*'W.F. at Appliance Level'!G17+Table3[[#This Row],[UCM
Pellet/Wood burner
(€/MWh)]]*'W.F. at Appliance Level'!H17</f>
        <v>75.792343270366985</v>
      </c>
      <c r="AG17" s="145">
        <f>Table3[[#This Row],[UCM for cooking
(€/MWh)]]*'W.F. End-use Level'!B18+Table3[[#This Row],[UCM for water heating
(€/MWh)]]*'W.F. End-use Level'!C18+Table3[[#This Row],[UCM for space heating
(€/MWh)]]*'W.F. End-use Level'!D18</f>
        <v>83.360261854542955</v>
      </c>
    </row>
    <row r="18" spans="1:33" ht="15.75" x14ac:dyDescent="0.25">
      <c r="A18" s="15" t="s">
        <v>16</v>
      </c>
      <c r="B18" s="49">
        <f>Table35[[#This Row],[Stove (€/MW)]]</f>
        <v>197203.43936423399</v>
      </c>
      <c r="C18" s="49">
        <f>Table35[[#This Row],[Electric Water heater (€/MW)]]</f>
        <v>87502.020202020183</v>
      </c>
      <c r="D18" s="49">
        <f>Table35[[#This Row],[A/C (€/MW)]]</f>
        <v>111175.37851478011</v>
      </c>
      <c r="E18" s="49">
        <f>Table35[[#This Row],[Other electric appliances (€/MW)]]</f>
        <v>30863.636363636364</v>
      </c>
      <c r="F18" s="49">
        <f>Table35[[#This Row],[Heat pumps (€/MW)]]</f>
        <v>472469.84126984124</v>
      </c>
      <c r="G18" s="49">
        <f>Table35[[#This Row],[Oil Burner (€/MW)]]</f>
        <v>36343.079494316153</v>
      </c>
      <c r="H18" s="49">
        <f>Table35[[#This Row],[Burner (Pellet, wood,…) (€/MW)]]</f>
        <v>73784.126984126982</v>
      </c>
      <c r="I18" s="49">
        <f>'Fuel Prices excl. VAT'!B17</f>
        <v>3.5099999999999999E-2</v>
      </c>
      <c r="J18" s="49">
        <f>'Fuel Prices excl. VAT'!D17</f>
        <v>0.1196</v>
      </c>
      <c r="K18" s="49">
        <f>'Fuel Prices excl. VAT'!F17</f>
        <v>9.833789473684211E-2</v>
      </c>
      <c r="L18" s="49">
        <f>'Fuel Prices excl. VAT'!H17</f>
        <v>4.4999999999999998E-2</v>
      </c>
      <c r="M18" s="49">
        <f t="shared" si="9"/>
        <v>8.4499999999999992E-2</v>
      </c>
      <c r="N18" s="49">
        <f t="shared" si="0"/>
        <v>6.3237894736842104E-2</v>
      </c>
      <c r="O18" s="49">
        <f t="shared" si="1"/>
        <v>9.8999999999999991E-3</v>
      </c>
      <c r="P18" s="49">
        <f>Table3[[#This Row],[Stove (€/MW)]]/'Utilisation by Sector'!$B$7</f>
        <v>54.176769056108235</v>
      </c>
      <c r="Q18" s="49">
        <f>Table3[[#This Row],[Electric Water heater (€/MW)]]/'Utilisation by Sector'!$C$7</f>
        <v>24.039016539016533</v>
      </c>
      <c r="R18" s="49">
        <f>Table3[[#This Row],[A/C (€/MW)]]/'Utilisation by Sector'!$D$7</f>
        <v>11.678085978443288</v>
      </c>
      <c r="S18" s="49">
        <f>Table3[[#This Row],[Other electric appliances (€/MW)]]/'Utilisation by Sector'!$E$7</f>
        <v>4.6313980137509549</v>
      </c>
      <c r="T18" s="49">
        <f>Table3[[#This Row],[Heat pumps (€/MW)]]/'Utilisation by Sector'!$F$7</f>
        <v>33.086123338224176</v>
      </c>
      <c r="U18" s="49">
        <f>Table3[[#This Row],[Oil Burner (€/MW)]]/'Utilisation by Sector'!$G$7</f>
        <v>1.908775183525008</v>
      </c>
      <c r="V18" s="49">
        <f>Table3[[#This Row],[Burner (Pellet, wood,…) (€/MW)]]/'Utilisation by Sector'!$H$7</f>
        <v>3.8752167533680137</v>
      </c>
      <c r="W18" s="49">
        <f t="shared" si="2"/>
        <v>138.67676905610821</v>
      </c>
      <c r="X18" s="130">
        <f t="shared" si="3"/>
        <v>108.53901653901652</v>
      </c>
      <c r="Y18" s="130">
        <f t="shared" si="4"/>
        <v>96.178085978443278</v>
      </c>
      <c r="Z18" s="130">
        <f t="shared" si="8"/>
        <v>89.131398013750939</v>
      </c>
      <c r="AA18" s="130">
        <f t="shared" si="5"/>
        <v>117.58612333822416</v>
      </c>
      <c r="AB18" s="130">
        <f t="shared" si="6"/>
        <v>65.146669920367103</v>
      </c>
      <c r="AC18" s="130">
        <f t="shared" si="7"/>
        <v>13.775216753368012</v>
      </c>
      <c r="AD18" s="130">
        <f>Table3[[#This Row],[UCM
Stove
(€/MWh)]]*'W.F. at Appliance Level'!B18</f>
        <v>138.67676905610821</v>
      </c>
      <c r="AE18" s="130">
        <f>Table3[[#This Row],[UCM
Electric water heater
(€/MWh)]]*'W.F. at Appliance Level'!C18</f>
        <v>108.53901653901652</v>
      </c>
      <c r="AF18" s="130">
        <f>Table3[[#This Row],[UCM
A/C
(€/MWh)]]*'W.F. at Appliance Level'!D18+Table3[[#This Row],[UCM
Other elecric appliances
(€/MWh)]]*'W.F. at Appliance Level'!E18+Table3[[#This Row],[UCM
heat pumps
(€/MWh)]]*'W.F. at Appliance Level'!F18+Table3[[#This Row],[UCM
Oil burner
(€/MWh) ]]*'W.F. at Appliance Level'!G18+Table3[[#This Row],[UCM
Pellet/Wood burner
(€/MWh)]]*'W.F. at Appliance Level'!H18</f>
        <v>76.363498800830698</v>
      </c>
      <c r="AG18" s="140">
        <f>Table3[[#This Row],[UCM for cooking
(€/MWh)]]*'W.F. End-use Level'!B19+Table3[[#This Row],[UCM for water heating
(€/MWh)]]*'W.F. End-use Level'!C19+Table3[[#This Row],[UCM for space heating
(€/MWh)]]*'W.F. End-use Level'!D19</f>
        <v>118.11269246750138</v>
      </c>
    </row>
    <row r="19" spans="1:33" ht="15.75" x14ac:dyDescent="0.25">
      <c r="A19" s="15" t="s">
        <v>17</v>
      </c>
      <c r="B19" s="50">
        <f>Table35[[#This Row],[Stove (€/MW)]]</f>
        <v>113088.77058929864</v>
      </c>
      <c r="C19" s="50">
        <f>Table35[[#This Row],[Electric Water heater (€/MW)]]</f>
        <v>42972.076923076922</v>
      </c>
      <c r="D19" s="50">
        <f>Table35[[#This Row],[A/C (€/MW)]]</f>
        <v>107295.04763551115</v>
      </c>
      <c r="E19" s="50">
        <f>Table35[[#This Row],[Other electric appliances (€/MW)]]</f>
        <v>18983.047739297741</v>
      </c>
      <c r="F19" s="50">
        <f>Table35[[#This Row],[Heat pumps (€/MW)]]</f>
        <v>370713.14288668853</v>
      </c>
      <c r="G19" s="50">
        <f>Table35[[#This Row],[Oil Burner (€/MW)]]</f>
        <v>13737.218052434455</v>
      </c>
      <c r="H19" s="50">
        <f>Table35[[#This Row],[Burner (Pellet, wood,…) (€/MW)]]</f>
        <v>119968.25396825396</v>
      </c>
      <c r="I19" s="50">
        <f>'Fuel Prices excl. VAT'!B18</f>
        <v>4.53E-2</v>
      </c>
      <c r="J19" s="50">
        <f>'Fuel Prices excl. VAT'!D18</f>
        <v>0.13189999999999999</v>
      </c>
      <c r="K19" s="50">
        <f>'Fuel Prices excl. VAT'!F18</f>
        <v>9.833789473684211E-2</v>
      </c>
      <c r="L19" s="50">
        <f>'Fuel Prices excl. VAT'!H18</f>
        <v>4.4999999999999998E-2</v>
      </c>
      <c r="M19" s="50">
        <f t="shared" si="9"/>
        <v>8.6599999999999983E-2</v>
      </c>
      <c r="N19" s="50">
        <f t="shared" si="0"/>
        <v>5.303789473684211E-2</v>
      </c>
      <c r="O19" s="50">
        <f t="shared" si="1"/>
        <v>-3.0000000000000165E-4</v>
      </c>
      <c r="P19" s="50">
        <f>Table3[[#This Row],[Stove (€/MW)]]/'Utilisation by Sector'!$B$7</f>
        <v>31.068343568488636</v>
      </c>
      <c r="Q19" s="50">
        <f>Table3[[#This Row],[Electric Water heater (€/MW)]]/'Utilisation by Sector'!$C$7</f>
        <v>11.805515638207945</v>
      </c>
      <c r="R19" s="50">
        <f>Table3[[#This Row],[A/C (€/MW)]]/'Utilisation by Sector'!$D$7</f>
        <v>11.270488197007474</v>
      </c>
      <c r="S19" s="50">
        <f>Table3[[#This Row],[Other electric appliances (€/MW)]]/'Utilisation by Sector'!$E$7</f>
        <v>2.8485965995344751</v>
      </c>
      <c r="T19" s="50">
        <f>Table3[[#This Row],[Heat pumps (€/MW)]]/'Utilisation by Sector'!$F$7</f>
        <v>25.960304123717684</v>
      </c>
      <c r="U19" s="50">
        <f>Table3[[#This Row],[Oil Burner (€/MW)]]/'Utilisation by Sector'!$G$7</f>
        <v>0.72149254477071711</v>
      </c>
      <c r="V19" s="50">
        <f>Table3[[#This Row],[Burner (Pellet, wood,…) (€/MW)]]/'Utilisation by Sector'!$H$7</f>
        <v>6.3008536748032542</v>
      </c>
      <c r="W19" s="50">
        <f t="shared" si="2"/>
        <v>117.66834356848861</v>
      </c>
      <c r="X19" s="131">
        <f t="shared" si="3"/>
        <v>98.40551563820793</v>
      </c>
      <c r="Y19" s="131">
        <f t="shared" si="4"/>
        <v>97.870488197007461</v>
      </c>
      <c r="Z19" s="131">
        <f t="shared" si="8"/>
        <v>89.448596599534454</v>
      </c>
      <c r="AA19" s="131">
        <f t="shared" si="5"/>
        <v>112.56030412371766</v>
      </c>
      <c r="AB19" s="131">
        <f t="shared" si="6"/>
        <v>53.759387281612831</v>
      </c>
      <c r="AC19" s="131">
        <f t="shared" si="7"/>
        <v>6.0008536748032526</v>
      </c>
      <c r="AD19" s="131">
        <f>Table3[[#This Row],[UCM
Stove
(€/MWh)]]*'W.F. at Appliance Level'!B19</f>
        <v>117.66834356848861</v>
      </c>
      <c r="AE19" s="131">
        <f>Table3[[#This Row],[UCM
Electric water heater
(€/MWh)]]*'W.F. at Appliance Level'!C19</f>
        <v>98.40551563820793</v>
      </c>
      <c r="AF19" s="131">
        <f>Table3[[#This Row],[UCM
A/C
(€/MWh)]]*'W.F. at Appliance Level'!D19+Table3[[#This Row],[UCM
Other elecric appliances
(€/MWh)]]*'W.F. at Appliance Level'!E19+Table3[[#This Row],[UCM
heat pumps
(€/MWh)]]*'W.F. at Appliance Level'!F19+Table3[[#This Row],[UCM
Oil burner
(€/MWh) ]]*'W.F. at Appliance Level'!G19+Table3[[#This Row],[UCM
Pellet/Wood burner
(€/MWh)]]*'W.F. at Appliance Level'!H19</f>
        <v>71.927925975335128</v>
      </c>
      <c r="AG19" s="145">
        <f>Table3[[#This Row],[UCM for cooking
(€/MWh)]]*'W.F. End-use Level'!B20+Table3[[#This Row],[UCM for water heating
(€/MWh)]]*'W.F. End-use Level'!C20+Table3[[#This Row],[UCM for space heating
(€/MWh)]]*'W.F. End-use Level'!D20</f>
        <v>86.511439233784415</v>
      </c>
    </row>
    <row r="20" spans="1:33" ht="15.75" x14ac:dyDescent="0.25">
      <c r="A20" s="15" t="s">
        <v>18</v>
      </c>
      <c r="B20" s="49">
        <f>Table35[[#This Row],[Stove (€/MW)]]</f>
        <v>78554.545454545456</v>
      </c>
      <c r="C20" s="49">
        <f>Table35[[#This Row],[Electric Water heater (€/MW)]]</f>
        <v>39769.333333333328</v>
      </c>
      <c r="D20" s="49">
        <f>Table35[[#This Row],[A/C (€/MW)]]</f>
        <v>57717.708224817063</v>
      </c>
      <c r="E20" s="49">
        <f>Table35[[#This Row],[Other electric appliances (€/MW)]]</f>
        <v>5838.333333333333</v>
      </c>
      <c r="F20" s="49">
        <f>Table35[[#This Row],[Heat pumps (€/MW)]]</f>
        <v>403333.33333333331</v>
      </c>
      <c r="G20" s="49">
        <f>Table35[[#This Row],[Oil Burner (€/MW)]]</f>
        <v>36343.079494316153</v>
      </c>
      <c r="H20" s="49">
        <f>Table35[[#This Row],[Burner (Pellet, wood,…) (€/MW)]]</f>
        <v>75655.249006458034</v>
      </c>
      <c r="I20" s="49">
        <f>'Fuel Prices excl. VAT'!B19</f>
        <v>4.5400000000000003E-2</v>
      </c>
      <c r="J20" s="49">
        <f>'Fuel Prices excl. VAT'!D19</f>
        <v>0.1188</v>
      </c>
      <c r="K20" s="49">
        <f>'Fuel Prices excl. VAT'!F19</f>
        <v>7.4061710536618752E-2</v>
      </c>
      <c r="L20" s="49">
        <f>'Fuel Prices excl. VAT'!H19</f>
        <v>2.6666666666666668E-2</v>
      </c>
      <c r="M20" s="49">
        <f t="shared" si="9"/>
        <v>7.3399999999999993E-2</v>
      </c>
      <c r="N20" s="49">
        <f t="shared" si="0"/>
        <v>2.8661710536618749E-2</v>
      </c>
      <c r="O20" s="49">
        <f t="shared" si="1"/>
        <v>-1.8733333333333334E-2</v>
      </c>
      <c r="P20" s="49">
        <f>Table3[[#This Row],[Stove (€/MW)]]/'Utilisation by Sector'!$B$7</f>
        <v>21.580919080919081</v>
      </c>
      <c r="Q20" s="49">
        <f>Table3[[#This Row],[Electric Water heater (€/MW)]]/'Utilisation by Sector'!$C$7</f>
        <v>10.925641025641024</v>
      </c>
      <c r="R20" s="49">
        <f>Table3[[#This Row],[A/C (€/MW)]]/'Utilisation by Sector'!$D$7</f>
        <v>6.0627844773967503</v>
      </c>
      <c r="S20" s="49">
        <f>Table3[[#This Row],[Other electric appliances (€/MW)]]/'Utilisation by Sector'!$E$7</f>
        <v>0.87610044017607036</v>
      </c>
      <c r="T20" s="49">
        <f>Table3[[#This Row],[Heat pumps (€/MW)]]/'Utilisation by Sector'!$F$7</f>
        <v>28.244631185807656</v>
      </c>
      <c r="U20" s="49">
        <f>Table3[[#This Row],[Oil Burner (€/MW)]]/'Utilisation by Sector'!$G$7</f>
        <v>1.908775183525008</v>
      </c>
      <c r="V20" s="49">
        <f>Table3[[#This Row],[Burner (Pellet, wood,…) (€/MW)]]/'Utilisation by Sector'!$H$7</f>
        <v>3.9734899688265775</v>
      </c>
      <c r="W20" s="49">
        <f t="shared" si="2"/>
        <v>94.98091908091908</v>
      </c>
      <c r="X20" s="130">
        <f t="shared" si="3"/>
        <v>84.325641025641019</v>
      </c>
      <c r="Y20" s="130">
        <f t="shared" si="4"/>
        <v>79.462784477396738</v>
      </c>
      <c r="Z20" s="130">
        <f t="shared" si="8"/>
        <v>74.276100440176066</v>
      </c>
      <c r="AA20" s="130">
        <f t="shared" si="5"/>
        <v>101.64463118580764</v>
      </c>
      <c r="AB20" s="130">
        <f t="shared" si="6"/>
        <v>30.570485720143758</v>
      </c>
      <c r="AC20" s="130">
        <f t="shared" si="7"/>
        <v>-14.759843364506757</v>
      </c>
      <c r="AD20" s="130">
        <f>Table3[[#This Row],[UCM
Stove
(€/MWh)]]*'W.F. at Appliance Level'!B20</f>
        <v>94.98091908091908</v>
      </c>
      <c r="AE20" s="130">
        <f>Table3[[#This Row],[UCM
Electric water heater
(€/MWh)]]*'W.F. at Appliance Level'!C20</f>
        <v>84.325641025641019</v>
      </c>
      <c r="AF20" s="130">
        <f>Table3[[#This Row],[UCM
A/C
(€/MWh)]]*'W.F. at Appliance Level'!D20+Table3[[#This Row],[UCM
Other elecric appliances
(€/MWh)]]*'W.F. at Appliance Level'!E20+Table3[[#This Row],[UCM
heat pumps
(€/MWh)]]*'W.F. at Appliance Level'!F20+Table3[[#This Row],[UCM
Oil burner
(€/MWh) ]]*'W.F. at Appliance Level'!G20+Table3[[#This Row],[UCM
Pellet/Wood burner
(€/MWh)]]*'W.F. at Appliance Level'!H20</f>
        <v>54.238831691803497</v>
      </c>
      <c r="AG20" s="140">
        <f>Table3[[#This Row],[UCM for cooking
(€/MWh)]]*'W.F. End-use Level'!B21+Table3[[#This Row],[UCM for water heating
(€/MWh)]]*'W.F. End-use Level'!C21+Table3[[#This Row],[UCM for space heating
(€/MWh)]]*'W.F. End-use Level'!D21</f>
        <v>64.035704663635613</v>
      </c>
    </row>
    <row r="21" spans="1:33" ht="15.75" x14ac:dyDescent="0.25">
      <c r="A21" s="15" t="s">
        <v>19</v>
      </c>
      <c r="B21" s="50">
        <f>Table35[[#This Row],[Stove (€/MW)]]</f>
        <v>132298.49462365592</v>
      </c>
      <c r="C21" s="50">
        <f>Table35[[#This Row],[Electric Water heater (€/MW)]]</f>
        <v>32280.714285714283</v>
      </c>
      <c r="D21" s="50">
        <f>Table35[[#This Row],[A/C (€/MW)]]</f>
        <v>97999.587515482024</v>
      </c>
      <c r="E21" s="50">
        <f>Table35[[#This Row],[Other electric appliances (€/MW)]]</f>
        <v>23486.259259259259</v>
      </c>
      <c r="F21" s="50">
        <f>Table35[[#This Row],[Heat pumps (€/MW)]]</f>
        <v>123972.92396582458</v>
      </c>
      <c r="G21" s="50">
        <f>Table35[[#This Row],[Oil Burner (€/MW)]]</f>
        <v>22436.915634674922</v>
      </c>
      <c r="H21" s="50">
        <f>Table35[[#This Row],[Burner (Pellet, wood,…) (€/MW)]]</f>
        <v>131818.75</v>
      </c>
      <c r="I21" s="50">
        <f>'Fuel Prices excl. VAT'!B20</f>
        <v>5.1400000000000001E-2</v>
      </c>
      <c r="J21" s="50">
        <f>'Fuel Prices excl. VAT'!D20</f>
        <v>0.25609999999999999</v>
      </c>
      <c r="K21" s="50">
        <f>'Fuel Prices excl. VAT'!F20</f>
        <v>7.2631578947368422E-2</v>
      </c>
      <c r="L21" s="50">
        <f>'Fuel Prices excl. VAT'!H20</f>
        <v>4.4124999999999998E-2</v>
      </c>
      <c r="M21" s="50">
        <f t="shared" si="9"/>
        <v>0.20469999999999999</v>
      </c>
      <c r="N21" s="50">
        <f t="shared" si="0"/>
        <v>2.1231578947368421E-2</v>
      </c>
      <c r="O21" s="50">
        <f t="shared" si="1"/>
        <v>-7.2750000000000037E-3</v>
      </c>
      <c r="P21" s="50">
        <f>Table3[[#This Row],[Stove (€/MW)]]/'Utilisation by Sector'!$B$7</f>
        <v>36.345740281224153</v>
      </c>
      <c r="Q21" s="50">
        <f>Table3[[#This Row],[Electric Water heater (€/MW)]]/'Utilisation by Sector'!$C$7</f>
        <v>8.868328100470956</v>
      </c>
      <c r="R21" s="50">
        <f>Table3[[#This Row],[A/C (€/MW)]]/'Utilisation by Sector'!$D$7</f>
        <v>10.294074318853154</v>
      </c>
      <c r="S21" s="50">
        <f>Table3[[#This Row],[Other electric appliances (€/MW)]]/'Utilisation by Sector'!$E$7</f>
        <v>3.524348628340225</v>
      </c>
      <c r="T21" s="50">
        <f>Table3[[#This Row],[Heat pumps (€/MW)]]/'Utilisation by Sector'!$F$7</f>
        <v>8.6815773085311339</v>
      </c>
      <c r="U21" s="50">
        <f>Table3[[#This Row],[Oil Burner (€/MW)]]/'Utilisation by Sector'!$G$7</f>
        <v>1.1784094345942711</v>
      </c>
      <c r="V21" s="50">
        <f>Table3[[#This Row],[Burner (Pellet, wood,…) (€/MW)]]/'Utilisation by Sector'!$H$7</f>
        <v>6.9232536764705879</v>
      </c>
      <c r="W21" s="50">
        <f t="shared" si="2"/>
        <v>241.04574028122414</v>
      </c>
      <c r="X21" s="131">
        <f t="shared" si="3"/>
        <v>213.56832810047095</v>
      </c>
      <c r="Y21" s="131">
        <f t="shared" si="4"/>
        <v>214.99407431885314</v>
      </c>
      <c r="Z21" s="131">
        <f t="shared" si="8"/>
        <v>208.22434862834021</v>
      </c>
      <c r="AA21" s="131">
        <f t="shared" si="5"/>
        <v>213.38157730853112</v>
      </c>
      <c r="AB21" s="131">
        <f t="shared" si="6"/>
        <v>22.409988381962691</v>
      </c>
      <c r="AC21" s="131">
        <f t="shared" si="7"/>
        <v>-0.35174632352941604</v>
      </c>
      <c r="AD21" s="131">
        <f>Table3[[#This Row],[UCM
Stove
(€/MWh)]]*'W.F. at Appliance Level'!B21</f>
        <v>241.04574028122414</v>
      </c>
      <c r="AE21" s="131">
        <f>Table3[[#This Row],[UCM
Electric water heater
(€/MWh)]]*'W.F. at Appliance Level'!C21</f>
        <v>213.56832810047095</v>
      </c>
      <c r="AF21" s="131">
        <f>Table3[[#This Row],[UCM
A/C
(€/MWh)]]*'W.F. at Appliance Level'!D21+Table3[[#This Row],[UCM
Other elecric appliances
(€/MWh)]]*'W.F. at Appliance Level'!E21+Table3[[#This Row],[UCM
heat pumps
(€/MWh)]]*'W.F. at Appliance Level'!F21+Table3[[#This Row],[UCM
Oil burner
(€/MWh) ]]*'W.F. at Appliance Level'!G21+Table3[[#This Row],[UCM
Pellet/Wood burner
(€/MWh)]]*'W.F. at Appliance Level'!H21</f>
        <v>131.73164846283154</v>
      </c>
      <c r="AG21" s="145">
        <f>Table3[[#This Row],[UCM for cooking
(€/MWh)]]*'W.F. End-use Level'!B22+Table3[[#This Row],[UCM for water heating
(€/MWh)]]*'W.F. End-use Level'!C22+Table3[[#This Row],[UCM for space heating
(€/MWh)]]*'W.F. End-use Level'!D22</f>
        <v>146.08897031315189</v>
      </c>
    </row>
    <row r="22" spans="1:33" ht="15.75" x14ac:dyDescent="0.25">
      <c r="A22" s="15" t="s">
        <v>20</v>
      </c>
      <c r="B22" s="49">
        <f>Table35[[#This Row],[Stove (€/MW)]]</f>
        <v>125290.32258064517</v>
      </c>
      <c r="C22" s="49">
        <f>Table35[[#This Row],[Electric Water heater (€/MW)]]</f>
        <v>20345.203484902733</v>
      </c>
      <c r="D22" s="49">
        <f>Table35[[#This Row],[A/C (€/MW)]]</f>
        <v>139807.94225902919</v>
      </c>
      <c r="E22" s="49">
        <f>Table35[[#This Row],[Other electric appliances (€/MW)]]</f>
        <v>25192.603603603602</v>
      </c>
      <c r="F22" s="49">
        <f>Table35[[#This Row],[Heat pumps (€/MW)]]</f>
        <v>352299.12280701753</v>
      </c>
      <c r="G22" s="49">
        <f>Table35[[#This Row],[Oil Burner (€/MW)]]</f>
        <v>35580.153936545241</v>
      </c>
      <c r="H22" s="49">
        <f>Table35[[#This Row],[Burner (Pellet, wood,…) (€/MW)]]</f>
        <v>105171.75608498839</v>
      </c>
      <c r="I22" s="49">
        <f>'Fuel Prices excl. VAT'!B21</f>
        <v>5.62E-2</v>
      </c>
      <c r="J22" s="49">
        <f>'Fuel Prices excl. VAT'!D21</f>
        <v>0.16250000000000001</v>
      </c>
      <c r="K22" s="49">
        <f>'Fuel Prices excl. VAT'!F21</f>
        <v>8.1987368421052628E-2</v>
      </c>
      <c r="L22" s="49">
        <f>'Fuel Prices excl. VAT'!H21</f>
        <v>4.2187500000000003E-2</v>
      </c>
      <c r="M22" s="49">
        <f t="shared" si="9"/>
        <v>0.10630000000000001</v>
      </c>
      <c r="N22" s="49">
        <f t="shared" si="0"/>
        <v>2.5787368421052628E-2</v>
      </c>
      <c r="O22" s="49">
        <f t="shared" si="1"/>
        <v>-1.4012499999999997E-2</v>
      </c>
      <c r="P22" s="49">
        <f>Table3[[#This Row],[Stove (€/MW)]]/'Utilisation by Sector'!$B$7</f>
        <v>34.420418291386035</v>
      </c>
      <c r="Q22" s="49">
        <f>Table3[[#This Row],[Electric Water heater (€/MW)]]/'Utilisation by Sector'!$C$7</f>
        <v>5.5893416167315202</v>
      </c>
      <c r="R22" s="49">
        <f>Table3[[#This Row],[A/C (€/MW)]]/'Utilisation by Sector'!$D$7</f>
        <v>14.68570822048626</v>
      </c>
      <c r="S22" s="49">
        <f>Table3[[#This Row],[Other electric appliances (€/MW)]]/'Utilisation by Sector'!$E$7</f>
        <v>3.7804027016211887</v>
      </c>
      <c r="T22" s="49">
        <f>Table3[[#This Row],[Heat pumps (€/MW)]]/'Utilisation by Sector'!$F$7</f>
        <v>24.670806919258929</v>
      </c>
      <c r="U22" s="49">
        <f>Table3[[#This Row],[Oil Burner (€/MW)]]/'Utilisation by Sector'!$G$7</f>
        <v>1.8687055638941827</v>
      </c>
      <c r="V22" s="49">
        <f>Table3[[#This Row],[Burner (Pellet, wood,…) (€/MW)]]/'Utilisation by Sector'!$H$7</f>
        <v>5.5237266851359443</v>
      </c>
      <c r="W22" s="49">
        <f t="shared" si="2"/>
        <v>140.72041829138604</v>
      </c>
      <c r="X22" s="130">
        <f t="shared" si="3"/>
        <v>111.88934161673153</v>
      </c>
      <c r="Y22" s="130">
        <f t="shared" si="4"/>
        <v>120.98570822048627</v>
      </c>
      <c r="Z22" s="130">
        <f t="shared" si="8"/>
        <v>110.0804027016212</v>
      </c>
      <c r="AA22" s="130">
        <f t="shared" si="5"/>
        <v>130.97080691925893</v>
      </c>
      <c r="AB22" s="130">
        <f t="shared" si="6"/>
        <v>27.656073984946811</v>
      </c>
      <c r="AC22" s="130">
        <f t="shared" si="7"/>
        <v>-8.4887733148640532</v>
      </c>
      <c r="AD22" s="130">
        <f>Table3[[#This Row],[UCM
Stove
(€/MWh)]]*'W.F. at Appliance Level'!B22</f>
        <v>140.72041829138604</v>
      </c>
      <c r="AE22" s="130">
        <f>Table3[[#This Row],[UCM
Electric water heater
(€/MWh)]]*'W.F. at Appliance Level'!C22</f>
        <v>111.88934161673153</v>
      </c>
      <c r="AF22" s="130">
        <f>Table3[[#This Row],[UCM
A/C
(€/MWh)]]*'W.F. at Appliance Level'!D22+Table3[[#This Row],[UCM
Other elecric appliances
(€/MWh)]]*'W.F. at Appliance Level'!E22+Table3[[#This Row],[UCM
heat pumps
(€/MWh)]]*'W.F. at Appliance Level'!F22+Table3[[#This Row],[UCM
Oil burner
(€/MWh) ]]*'W.F. at Appliance Level'!G22+Table3[[#This Row],[UCM
Pellet/Wood burner
(€/MWh)]]*'W.F. at Appliance Level'!H22</f>
        <v>76.240843702289837</v>
      </c>
      <c r="AG22" s="140">
        <f>Table3[[#This Row],[UCM for cooking
(€/MWh)]]*'W.F. End-use Level'!B23+Table3[[#This Row],[UCM for water heating
(€/MWh)]]*'W.F. End-use Level'!C23+Table3[[#This Row],[UCM for space heating
(€/MWh)]]*'W.F. End-use Level'!D23</f>
        <v>81.849601819024301</v>
      </c>
    </row>
    <row r="23" spans="1:33" ht="15.75" x14ac:dyDescent="0.25">
      <c r="A23" s="15" t="s">
        <v>21</v>
      </c>
      <c r="B23" s="50">
        <f>Table35[[#This Row],[Stove (€/MW)]]</f>
        <v>213275.45768693477</v>
      </c>
      <c r="C23" s="50">
        <f>Table35[[#This Row],[Electric Water heater (€/MW)]]</f>
        <v>57834.25</v>
      </c>
      <c r="D23" s="50">
        <f>Table35[[#This Row],[A/C (€/MW)]]</f>
        <v>82274.712301587293</v>
      </c>
      <c r="E23" s="50">
        <f>Table35[[#This Row],[Other electric appliances (€/MW)]]</f>
        <v>23176.666666666664</v>
      </c>
      <c r="F23" s="50">
        <f>Table35[[#This Row],[Heat pumps (€/MW)]]</f>
        <v>180332.14285714284</v>
      </c>
      <c r="G23" s="50">
        <f>Table35[[#This Row],[Oil Burner (€/MW)]]</f>
        <v>12184.768926223373</v>
      </c>
      <c r="H23" s="50">
        <f>Table35[[#This Row],[Burner (Pellet, wood,…) (€/MW)]]</f>
        <v>150921.37362637362</v>
      </c>
      <c r="I23" s="50">
        <f>'Fuel Prices excl. VAT'!B22</f>
        <v>5.4699999999999999E-2</v>
      </c>
      <c r="J23" s="50">
        <f>'Fuel Prices excl. VAT'!D22</f>
        <v>0.14410000000000001</v>
      </c>
      <c r="K23" s="50">
        <f>'Fuel Prices excl. VAT'!F22</f>
        <v>9.3470526315789476E-2</v>
      </c>
      <c r="L23" s="50">
        <f>'Fuel Prices excl. VAT'!H22</f>
        <v>4.1666666666666671E-2</v>
      </c>
      <c r="M23" s="50">
        <f t="shared" si="9"/>
        <v>8.9400000000000007E-2</v>
      </c>
      <c r="N23" s="50">
        <f t="shared" si="0"/>
        <v>3.8770526315789478E-2</v>
      </c>
      <c r="O23" s="50">
        <f t="shared" si="1"/>
        <v>-1.3033333333333327E-2</v>
      </c>
      <c r="P23" s="50">
        <f>Table3[[#This Row],[Stove (€/MW)]]/'Utilisation by Sector'!$B$7</f>
        <v>58.592158705201861</v>
      </c>
      <c r="Q23" s="50">
        <f>Table3[[#This Row],[Electric Water heater (€/MW)]]/'Utilisation by Sector'!$C$7</f>
        <v>15.88853021978022</v>
      </c>
      <c r="R23" s="50">
        <f>Table3[[#This Row],[A/C (€/MW)]]/'Utilisation by Sector'!$D$7</f>
        <v>8.6423017123516068</v>
      </c>
      <c r="S23" s="50">
        <f>Table3[[#This Row],[Other electric appliances (€/MW)]]/'Utilisation by Sector'!$E$7</f>
        <v>3.4778911564625847</v>
      </c>
      <c r="T23" s="50">
        <f>Table3[[#This Row],[Heat pumps (€/MW)]]/'Utilisation by Sector'!$F$7</f>
        <v>12.628301320528211</v>
      </c>
      <c r="U23" s="50">
        <f>Table3[[#This Row],[Oil Burner (€/MW)]]/'Utilisation by Sector'!$G$7</f>
        <v>0.63995635116719396</v>
      </c>
      <c r="V23" s="50">
        <f>Table3[[#This Row],[Burner (Pellet, wood,…) (€/MW)]]/'Utilisation by Sector'!$H$7</f>
        <v>7.9265427324776061</v>
      </c>
      <c r="W23" s="50">
        <f t="shared" si="2"/>
        <v>147.99215870520186</v>
      </c>
      <c r="X23" s="131">
        <f t="shared" si="3"/>
        <v>105.28853021978023</v>
      </c>
      <c r="Y23" s="131">
        <f t="shared" si="4"/>
        <v>98.042301712351616</v>
      </c>
      <c r="Z23" s="131">
        <f t="shared" si="8"/>
        <v>92.877891156462596</v>
      </c>
      <c r="AA23" s="131">
        <f t="shared" si="5"/>
        <v>102.02830132052821</v>
      </c>
      <c r="AB23" s="131">
        <f t="shared" si="6"/>
        <v>39.410482666956668</v>
      </c>
      <c r="AC23" s="131">
        <f t="shared" si="7"/>
        <v>-5.1067906008557218</v>
      </c>
      <c r="AD23" s="131">
        <f>Table3[[#This Row],[UCM
Stove
(€/MWh)]]*'W.F. at Appliance Level'!B23</f>
        <v>147.99215870520186</v>
      </c>
      <c r="AE23" s="131">
        <f>Table3[[#This Row],[UCM
Electric water heater
(€/MWh)]]*'W.F. at Appliance Level'!C23</f>
        <v>105.28853021978023</v>
      </c>
      <c r="AF23" s="131">
        <f>Table3[[#This Row],[UCM
A/C
(€/MWh)]]*'W.F. at Appliance Level'!D23+Table3[[#This Row],[UCM
Other elecric appliances
(€/MWh)]]*'W.F. at Appliance Level'!E23+Table3[[#This Row],[UCM
heat pumps
(€/MWh)]]*'W.F. at Appliance Level'!F23+Table3[[#This Row],[UCM
Oil burner
(€/MWh) ]]*'W.F. at Appliance Level'!G23+Table3[[#This Row],[UCM
Pellet/Wood burner
(€/MWh)]]*'W.F. at Appliance Level'!H23</f>
        <v>65.450437251088687</v>
      </c>
      <c r="AG23" s="145">
        <f>Table3[[#This Row],[UCM for cooking
(€/MWh)]]*'W.F. End-use Level'!B24+Table3[[#This Row],[UCM for water heating
(€/MWh)]]*'W.F. End-use Level'!C24+Table3[[#This Row],[UCM for space heating
(€/MWh)]]*'W.F. End-use Level'!D24</f>
        <v>74.665227461472853</v>
      </c>
    </row>
    <row r="24" spans="1:33" ht="15.75" x14ac:dyDescent="0.25">
      <c r="A24" s="15" t="s">
        <v>22</v>
      </c>
      <c r="B24" s="49">
        <f>Table35[[#This Row],[Stove (€/MW)]]</f>
        <v>134611.0762800418</v>
      </c>
      <c r="C24" s="49">
        <f>Table35[[#This Row],[Electric Water heater (€/MW)]]</f>
        <v>61825</v>
      </c>
      <c r="D24" s="49">
        <f>Table35[[#This Row],[A/C (€/MW)]]</f>
        <v>119359.25429105756</v>
      </c>
      <c r="E24" s="49">
        <f>Table35[[#This Row],[Other electric appliances (€/MW)]]</f>
        <v>9909.0000000000018</v>
      </c>
      <c r="F24" s="49">
        <f>Table35[[#This Row],[Heat pumps (€/MW)]]</f>
        <v>364239.75495103037</v>
      </c>
      <c r="G24" s="49">
        <f>Table35[[#This Row],[Oil Burner (€/MW)]]</f>
        <v>16986.775912955374</v>
      </c>
      <c r="H24" s="49">
        <f>Table35[[#This Row],[Burner (Pellet, wood,…) (€/MW)]]</f>
        <v>117940.41478129714</v>
      </c>
      <c r="I24" s="49">
        <f>'Fuel Prices excl. VAT'!B23</f>
        <v>2.7699999999999999E-2</v>
      </c>
      <c r="J24" s="49">
        <f>'Fuel Prices excl. VAT'!D23</f>
        <v>8.8599999999999998E-2</v>
      </c>
      <c r="K24" s="49">
        <f>'Fuel Prices excl. VAT'!F23</f>
        <v>0.12857796876180244</v>
      </c>
      <c r="L24" s="49">
        <f>'Fuel Prices excl. VAT'!H23</f>
        <v>4.4999999999999998E-2</v>
      </c>
      <c r="M24" s="49">
        <f t="shared" si="9"/>
        <v>6.0899999999999996E-2</v>
      </c>
      <c r="N24" s="49">
        <f t="shared" si="0"/>
        <v>0.10087796876180244</v>
      </c>
      <c r="O24" s="49">
        <f t="shared" si="1"/>
        <v>1.7299999999999999E-2</v>
      </c>
      <c r="P24" s="49">
        <f>Table3[[#This Row],[Stove (€/MW)]]/'Utilisation by Sector'!$B$7</f>
        <v>36.981064912099399</v>
      </c>
      <c r="Q24" s="49">
        <f>Table3[[#This Row],[Electric Water heater (€/MW)]]/'Utilisation by Sector'!$C$7</f>
        <v>16.984890109890109</v>
      </c>
      <c r="R24" s="49">
        <f>Table3[[#This Row],[A/C (€/MW)]]/'Utilisation by Sector'!$D$7</f>
        <v>12.537736795279155</v>
      </c>
      <c r="S24" s="49">
        <f>Table3[[#This Row],[Other electric appliances (€/MW)]]/'Utilisation by Sector'!$E$7</f>
        <v>1.4869447779111646</v>
      </c>
      <c r="T24" s="49">
        <f>Table3[[#This Row],[Heat pumps (€/MW)]]/'Utilisation by Sector'!$F$7</f>
        <v>25.506985640828457</v>
      </c>
      <c r="U24" s="49">
        <f>Table3[[#This Row],[Oil Burner (€/MW)]]/'Utilisation by Sector'!$G$7</f>
        <v>0.89216260047034524</v>
      </c>
      <c r="V24" s="49">
        <f>Table3[[#This Row],[Burner (Pellet, wood,…) (€/MW)]]/'Utilisation by Sector'!$H$7</f>
        <v>6.1943495158244293</v>
      </c>
      <c r="W24" s="49">
        <f t="shared" si="2"/>
        <v>97.88106491209939</v>
      </c>
      <c r="X24" s="130">
        <f t="shared" si="3"/>
        <v>77.884890109890108</v>
      </c>
      <c r="Y24" s="130">
        <f t="shared" si="4"/>
        <v>73.43773679527915</v>
      </c>
      <c r="Z24" s="130">
        <f t="shared" si="8"/>
        <v>62.386944777911161</v>
      </c>
      <c r="AA24" s="130">
        <f t="shared" si="5"/>
        <v>86.406985640828452</v>
      </c>
      <c r="AB24" s="130">
        <f t="shared" si="6"/>
        <v>101.77013136227278</v>
      </c>
      <c r="AC24" s="130">
        <f t="shared" si="7"/>
        <v>23.494349515824432</v>
      </c>
      <c r="AD24" s="130">
        <f>Table3[[#This Row],[UCM
Stove
(€/MWh)]]*'W.F. at Appliance Level'!B24</f>
        <v>97.88106491209939</v>
      </c>
      <c r="AE24" s="130">
        <f>Table3[[#This Row],[UCM
Electric water heater
(€/MWh)]]*'W.F. at Appliance Level'!C24</f>
        <v>77.884890109890108</v>
      </c>
      <c r="AF24" s="130">
        <f>Table3[[#This Row],[UCM
A/C
(€/MWh)]]*'W.F. at Appliance Level'!D24+Table3[[#This Row],[UCM
Other elecric appliances
(€/MWh)]]*'W.F. at Appliance Level'!E24+Table3[[#This Row],[UCM
heat pumps
(€/MWh)]]*'W.F. at Appliance Level'!F24+Table3[[#This Row],[UCM
Oil burner
(€/MWh) ]]*'W.F. at Appliance Level'!G24+Table3[[#This Row],[UCM
Pellet/Wood burner
(€/MWh)]]*'W.F. at Appliance Level'!H24</f>
        <v>69.4992296184232</v>
      </c>
      <c r="AG24" s="140">
        <f>Table3[[#This Row],[UCM for cooking
(€/MWh)]]*'W.F. End-use Level'!B25+Table3[[#This Row],[UCM for water heating
(€/MWh)]]*'W.F. End-use Level'!C25+Table3[[#This Row],[UCM for space heating
(€/MWh)]]*'W.F. End-use Level'!D25</f>
        <v>70.173962470504847</v>
      </c>
    </row>
    <row r="25" spans="1:33" ht="15.75" x14ac:dyDescent="0.25">
      <c r="A25" s="15" t="s">
        <v>23</v>
      </c>
      <c r="B25" s="50">
        <f>Table35[[#This Row],[Stove (€/MW)]]</f>
        <v>212382.96136834181</v>
      </c>
      <c r="C25" s="50">
        <f>Table35[[#This Row],[Electric Water heater (€/MW)]]</f>
        <v>95980.0625</v>
      </c>
      <c r="D25" s="50">
        <f>Table35[[#This Row],[A/C (€/MW)]]</f>
        <v>170598.16111381984</v>
      </c>
      <c r="E25" s="50">
        <f>Table35[[#This Row],[Other electric appliances (€/MW)]]</f>
        <v>6659.7</v>
      </c>
      <c r="F25" s="50">
        <f>Table35[[#This Row],[Heat pumps (€/MW)]]</f>
        <v>364239.75495103037</v>
      </c>
      <c r="G25" s="50">
        <f>Table35[[#This Row],[Oil Burner (€/MW)]]</f>
        <v>18890.875</v>
      </c>
      <c r="H25" s="50">
        <f>Table35[[#This Row],[Burner (Pellet, wood,…) (€/MW)]]</f>
        <v>159767.27929984778</v>
      </c>
      <c r="I25" s="50">
        <f>'Fuel Prices excl. VAT'!B24</f>
        <v>6.3100000000000003E-2</v>
      </c>
      <c r="J25" s="50">
        <f>'Fuel Prices excl. VAT'!D24</f>
        <v>0.12909999999999999</v>
      </c>
      <c r="K25" s="50">
        <f>'Fuel Prices excl. VAT'!F24</f>
        <v>0.11294736842105263</v>
      </c>
      <c r="L25" s="50">
        <f>'Fuel Prices excl. VAT'!H24</f>
        <v>4.4999999999999998E-2</v>
      </c>
      <c r="M25" s="50">
        <f t="shared" si="9"/>
        <v>6.5999999999999989E-2</v>
      </c>
      <c r="N25" s="50">
        <f t="shared" si="0"/>
        <v>4.9847368421052626E-2</v>
      </c>
      <c r="O25" s="50">
        <f t="shared" si="1"/>
        <v>-1.8100000000000005E-2</v>
      </c>
      <c r="P25" s="50">
        <f>Table3[[#This Row],[Stove (€/MW)]]/'Utilisation by Sector'!$B$7</f>
        <v>58.346967408885114</v>
      </c>
      <c r="Q25" s="50">
        <f>Table3[[#This Row],[Electric Water heater (€/MW)]]/'Utilisation by Sector'!$C$7</f>
        <v>26.368149038461539</v>
      </c>
      <c r="R25" s="50">
        <f>Table3[[#This Row],[A/C (€/MW)]]/'Utilisation by Sector'!$D$7</f>
        <v>17.919974906913847</v>
      </c>
      <c r="S25" s="50">
        <f>Table3[[#This Row],[Other electric appliances (€/MW)]]/'Utilisation by Sector'!$E$7</f>
        <v>0.99935474189675866</v>
      </c>
      <c r="T25" s="50">
        <f>Table3[[#This Row],[Heat pumps (€/MW)]]/'Utilisation by Sector'!$F$7</f>
        <v>25.506985640828457</v>
      </c>
      <c r="U25" s="50">
        <f>Table3[[#This Row],[Oil Burner (€/MW)]]/'Utilisation by Sector'!$G$7</f>
        <v>0.99216780462184873</v>
      </c>
      <c r="V25" s="50">
        <f>Table3[[#This Row],[Burner (Pellet, wood,…) (€/MW)]]/'Utilisation by Sector'!$H$7</f>
        <v>8.3911386186894852</v>
      </c>
      <c r="W25" s="50">
        <f t="shared" si="2"/>
        <v>124.34696740888509</v>
      </c>
      <c r="X25" s="131">
        <f t="shared" si="3"/>
        <v>92.368149038461524</v>
      </c>
      <c r="Y25" s="131">
        <f t="shared" si="4"/>
        <v>83.919974906913836</v>
      </c>
      <c r="Z25" s="131">
        <f t="shared" si="8"/>
        <v>66.999354741896738</v>
      </c>
      <c r="AA25" s="131">
        <f t="shared" si="5"/>
        <v>91.506985640828447</v>
      </c>
      <c r="AB25" s="131">
        <f t="shared" si="6"/>
        <v>50.839536225674479</v>
      </c>
      <c r="AC25" s="131">
        <f t="shared" si="7"/>
        <v>-9.7088613813105198</v>
      </c>
      <c r="AD25" s="131">
        <f>Table3[[#This Row],[UCM
Stove
(€/MWh)]]*'W.F. at Appliance Level'!B25</f>
        <v>124.34696740888509</v>
      </c>
      <c r="AE25" s="131">
        <f>Table3[[#This Row],[UCM
Electric water heater
(€/MWh)]]*'W.F. at Appliance Level'!C25</f>
        <v>92.368149038461524</v>
      </c>
      <c r="AF25" s="131">
        <f>Table3[[#This Row],[UCM
A/C
(€/MWh)]]*'W.F. at Appliance Level'!D25+Table3[[#This Row],[UCM
Other elecric appliances
(€/MWh)]]*'W.F. at Appliance Level'!E25+Table3[[#This Row],[UCM
heat pumps
(€/MWh)]]*'W.F. at Appliance Level'!F25+Table3[[#This Row],[UCM
Oil burner
(€/MWh) ]]*'W.F. at Appliance Level'!G25+Table3[[#This Row],[UCM
Pellet/Wood burner
(€/MWh)]]*'W.F. at Appliance Level'!H25</f>
        <v>56.711398026800602</v>
      </c>
      <c r="AG25" s="145">
        <f>Table3[[#This Row],[UCM for cooking
(€/MWh)]]*'W.F. End-use Level'!B26+Table3[[#This Row],[UCM for water heating
(€/MWh)]]*'W.F. End-use Level'!C26+Table3[[#This Row],[UCM for space heating
(€/MWh)]]*'W.F. End-use Level'!D26</f>
        <v>61.603345479821762</v>
      </c>
    </row>
    <row r="26" spans="1:33" ht="15.75" x14ac:dyDescent="0.25">
      <c r="A26" s="15" t="s">
        <v>24</v>
      </c>
      <c r="B26" s="49">
        <f>Table35[[#This Row],[Stove (€/MW)]]</f>
        <v>253663.06116932252</v>
      </c>
      <c r="C26" s="49">
        <f>Table35[[#This Row],[Electric Water heater (€/MW)]]</f>
        <v>139846.45833333331</v>
      </c>
      <c r="D26" s="49">
        <f>Table35[[#This Row],[A/C (€/MW)]]</f>
        <v>175593.64542879278</v>
      </c>
      <c r="E26" s="49">
        <f>Table35[[#This Row],[Other electric appliances (€/MW)]]</f>
        <v>11613.15</v>
      </c>
      <c r="F26" s="49">
        <f>Table35[[#This Row],[Heat pumps (€/MW)]]</f>
        <v>364239.75495103037</v>
      </c>
      <c r="G26" s="49">
        <f>Table35[[#This Row],[Oil Burner (€/MW)]]</f>
        <v>36343.079494316153</v>
      </c>
      <c r="H26" s="49">
        <f>Table35[[#This Row],[Burner (Pellet, wood,…) (€/MW)]]</f>
        <v>105171.75608498839</v>
      </c>
      <c r="I26" s="49">
        <f>'Fuel Prices excl. VAT'!B25</f>
        <v>4.2999999999999997E-2</v>
      </c>
      <c r="J26" s="49">
        <f>'Fuel Prices excl. VAT'!D25</f>
        <v>0.23449999999999999</v>
      </c>
      <c r="K26" s="49">
        <f>'Fuel Prices excl. VAT'!F25</f>
        <v>6.9484210526315787E-2</v>
      </c>
      <c r="L26" s="49">
        <f>'Fuel Prices excl. VAT'!H25</f>
        <v>4.8562500000000001E-2</v>
      </c>
      <c r="M26" s="49">
        <f t="shared" si="9"/>
        <v>0.1915</v>
      </c>
      <c r="N26" s="49">
        <f t="shared" si="0"/>
        <v>2.6484210526315791E-2</v>
      </c>
      <c r="O26" s="49">
        <f t="shared" si="1"/>
        <v>5.5625000000000049E-3</v>
      </c>
      <c r="P26" s="49">
        <f>Table3[[#This Row],[Stove (€/MW)]]/'Utilisation by Sector'!$B$7</f>
        <v>69.687654167396303</v>
      </c>
      <c r="Q26" s="49">
        <f>Table3[[#This Row],[Electric Water heater (€/MW)]]/'Utilisation by Sector'!$C$7</f>
        <v>38.419356684981679</v>
      </c>
      <c r="R26" s="49">
        <f>Table3[[#This Row],[A/C (€/MW)]]/'Utilisation by Sector'!$D$7</f>
        <v>18.444710654284954</v>
      </c>
      <c r="S26" s="49">
        <f>Table3[[#This Row],[Other electric appliances (€/MW)]]/'Utilisation by Sector'!$E$7</f>
        <v>1.7426695678271309</v>
      </c>
      <c r="T26" s="49">
        <f>Table3[[#This Row],[Heat pumps (€/MW)]]/'Utilisation by Sector'!$F$7</f>
        <v>25.506985640828457</v>
      </c>
      <c r="U26" s="49">
        <f>Table3[[#This Row],[Oil Burner (€/MW)]]/'Utilisation by Sector'!$G$7</f>
        <v>1.908775183525008</v>
      </c>
      <c r="V26" s="49">
        <f>Table3[[#This Row],[Burner (Pellet, wood,…) (€/MW)]]/'Utilisation by Sector'!$H$7</f>
        <v>5.5237266851359443</v>
      </c>
      <c r="W26" s="49">
        <f t="shared" si="2"/>
        <v>261.18765416739632</v>
      </c>
      <c r="X26" s="130">
        <f t="shared" si="3"/>
        <v>229.91935668498166</v>
      </c>
      <c r="Y26" s="130">
        <f t="shared" si="4"/>
        <v>209.94471065428496</v>
      </c>
      <c r="Z26" s="130">
        <f t="shared" si="8"/>
        <v>193.24266956782714</v>
      </c>
      <c r="AA26" s="130">
        <f t="shared" si="5"/>
        <v>217.00698564082845</v>
      </c>
      <c r="AB26" s="130">
        <f t="shared" si="6"/>
        <v>28.392985709840801</v>
      </c>
      <c r="AC26" s="130">
        <f t="shared" si="7"/>
        <v>11.08622668513595</v>
      </c>
      <c r="AD26" s="130">
        <f>Table3[[#This Row],[UCM
Stove
(€/MWh)]]*'W.F. at Appliance Level'!B26</f>
        <v>261.18765416739632</v>
      </c>
      <c r="AE26" s="130">
        <f>Table3[[#This Row],[UCM
Electric water heater
(€/MWh)]]*'W.F. at Appliance Level'!C26</f>
        <v>229.91935668498166</v>
      </c>
      <c r="AF26" s="130">
        <f>Table3[[#This Row],[UCM
A/C
(€/MWh)]]*'W.F. at Appliance Level'!D26+Table3[[#This Row],[UCM
Other elecric appliances
(€/MWh)]]*'W.F. at Appliance Level'!E26+Table3[[#This Row],[UCM
heat pumps
(€/MWh)]]*'W.F. at Appliance Level'!F26+Table3[[#This Row],[UCM
Oil burner
(€/MWh) ]]*'W.F. at Appliance Level'!G26+Table3[[#This Row],[UCM
Pellet/Wood burner
(€/MWh)]]*'W.F. at Appliance Level'!H26</f>
        <v>131.93471565158347</v>
      </c>
      <c r="AG26" s="140">
        <f>Table3[[#This Row],[UCM for cooking
(€/MWh)]]*'W.F. End-use Level'!B27+Table3[[#This Row],[UCM for water heating
(€/MWh)]]*'W.F. End-use Level'!C27+Table3[[#This Row],[UCM for space heating
(€/MWh)]]*'W.F. End-use Level'!D27</f>
        <v>146.92473138090173</v>
      </c>
    </row>
    <row r="27" spans="1:33" ht="15.75" x14ac:dyDescent="0.25">
      <c r="A27" s="15" t="s">
        <v>25</v>
      </c>
      <c r="B27" s="50">
        <f>Table35[[#This Row],[Stove (€/MW)]]</f>
        <v>168115.18207282899</v>
      </c>
      <c r="C27" s="50">
        <f>Table35[[#This Row],[Electric Water heater (€/MW)]]</f>
        <v>40340.78787878788</v>
      </c>
      <c r="D27" s="50">
        <f>Table35[[#This Row],[A/C (€/MW)]]</f>
        <v>201485.12989174071</v>
      </c>
      <c r="E27" s="50">
        <f>Table35[[#This Row],[Other electric appliances (€/MW)]]</f>
        <v>20240.3</v>
      </c>
      <c r="F27" s="50">
        <f>Table35[[#This Row],[Heat pumps (€/MW)]]</f>
        <v>223463.73181818181</v>
      </c>
      <c r="G27" s="50">
        <f>Table35[[#This Row],[Oil Burner (€/MW)]]</f>
        <v>54505.378739316242</v>
      </c>
      <c r="H27" s="50">
        <f>Table35[[#This Row],[Burner (Pellet, wood,…) (€/MW)]]</f>
        <v>167377.81713939452</v>
      </c>
      <c r="I27" s="50">
        <f>'Fuel Prices excl. VAT'!B26</f>
        <v>4.4699999999999997E-2</v>
      </c>
      <c r="J27" s="50">
        <f>'Fuel Prices excl. VAT'!D26</f>
        <v>0.1681</v>
      </c>
      <c r="K27" s="50">
        <f>'Fuel Prices excl. VAT'!F26</f>
        <v>6.9070869533998713E-2</v>
      </c>
      <c r="L27" s="50">
        <f>'Fuel Prices excl. VAT'!H26</f>
        <v>4.718E-2</v>
      </c>
      <c r="M27" s="50">
        <f t="shared" si="9"/>
        <v>0.12340000000000001</v>
      </c>
      <c r="N27" s="50">
        <f t="shared" si="0"/>
        <v>2.4370869533998717E-2</v>
      </c>
      <c r="O27" s="50">
        <f t="shared" si="1"/>
        <v>2.480000000000003E-3</v>
      </c>
      <c r="P27" s="50">
        <f>Table3[[#This Row],[Stove (€/MW)]]/'Utilisation by Sector'!$B$7</f>
        <v>46.185489580447523</v>
      </c>
      <c r="Q27" s="50">
        <f>Table3[[#This Row],[Electric Water heater (€/MW)]]/'Utilisation by Sector'!$C$7</f>
        <v>11.082634032634033</v>
      </c>
      <c r="R27" s="50">
        <f>Table3[[#This Row],[A/C (€/MW)]]/'Utilisation by Sector'!$D$7</f>
        <v>21.164404400392932</v>
      </c>
      <c r="S27" s="50">
        <f>Table3[[#This Row],[Other electric appliances (€/MW)]]/'Utilisation by Sector'!$E$7</f>
        <v>3.0372599039615844</v>
      </c>
      <c r="T27" s="50">
        <f>Table3[[#This Row],[Heat pumps (€/MW)]]/'Utilisation by Sector'!$F$7</f>
        <v>15.64872071555895</v>
      </c>
      <c r="U27" s="50">
        <f>Table3[[#This Row],[Oil Burner (€/MW)]]/'Utilisation by Sector'!$G$7</f>
        <v>2.862677454796021</v>
      </c>
      <c r="V27" s="50">
        <f>Table3[[#This Row],[Burner (Pellet, wood,…) (€/MW)]]/'Utilisation by Sector'!$H$7</f>
        <v>8.7908517405144178</v>
      </c>
      <c r="W27" s="50">
        <f t="shared" si="2"/>
        <v>169.58548958044753</v>
      </c>
      <c r="X27" s="131">
        <f t="shared" si="3"/>
        <v>134.48263403263405</v>
      </c>
      <c r="Y27" s="131">
        <f t="shared" si="4"/>
        <v>144.56440440039293</v>
      </c>
      <c r="Z27" s="131">
        <f t="shared" si="8"/>
        <v>126.43725990396159</v>
      </c>
      <c r="AA27" s="131">
        <f t="shared" si="5"/>
        <v>139.04872071555894</v>
      </c>
      <c r="AB27" s="131">
        <f t="shared" si="6"/>
        <v>27.233546988794739</v>
      </c>
      <c r="AC27" s="131">
        <f t="shared" si="7"/>
        <v>11.27085174051442</v>
      </c>
      <c r="AD27" s="131">
        <f>Table3[[#This Row],[UCM
Stove
(€/MWh)]]*'W.F. at Appliance Level'!B27</f>
        <v>169.58548958044753</v>
      </c>
      <c r="AE27" s="131">
        <f>Table3[[#This Row],[UCM
Electric water heater
(€/MWh)]]*'W.F. at Appliance Level'!C27</f>
        <v>134.48263403263405</v>
      </c>
      <c r="AF27" s="131">
        <f>Table3[[#This Row],[UCM
A/C
(€/MWh)]]*'W.F. at Appliance Level'!D27+Table3[[#This Row],[UCM
Other elecric appliances
(€/MWh)]]*'W.F. at Appliance Level'!E27+Table3[[#This Row],[UCM
heat pumps
(€/MWh)]]*'W.F. at Appliance Level'!F27+Table3[[#This Row],[UCM
Oil burner
(€/MWh) ]]*'W.F. at Appliance Level'!G27+Table3[[#This Row],[UCM
Pellet/Wood burner
(€/MWh)]]*'W.F. at Appliance Level'!H27</f>
        <v>89.710956749844541</v>
      </c>
      <c r="AG27" s="145">
        <f>Table3[[#This Row],[UCM for cooking
(€/MWh)]]*'W.F. End-use Level'!B28+Table3[[#This Row],[UCM for water heating
(€/MWh)]]*'W.F. End-use Level'!C28+Table3[[#This Row],[UCM for space heating
(€/MWh)]]*'W.F. End-use Level'!D28</f>
        <v>117.57284058203949</v>
      </c>
    </row>
    <row r="28" spans="1:33" ht="15.75" x14ac:dyDescent="0.25">
      <c r="A28" s="15" t="s">
        <v>41</v>
      </c>
      <c r="B28" s="49">
        <f>Table35[[#This Row],[Stove (€/MW)]]</f>
        <v>185859.93421878715</v>
      </c>
      <c r="C28" s="49">
        <f>Table35[[#This Row],[Electric Water heater (€/MW)]]</f>
        <v>17499.418181818182</v>
      </c>
      <c r="D28" s="49">
        <f>Table35[[#This Row],[A/C (€/MW)]]</f>
        <v>165877.1308768552</v>
      </c>
      <c r="E28" s="49">
        <f>Table35[[#This Row],[Other electric appliances (€/MW)]]</f>
        <v>11160.04</v>
      </c>
      <c r="F28" s="49">
        <f>Table35[[#This Row],[Heat pumps (€/MW)]]</f>
        <v>364239.75495103037</v>
      </c>
      <c r="G28" s="49">
        <f>Table35[[#This Row],[Oil Burner (€/MW)]]</f>
        <v>36343.079494316153</v>
      </c>
      <c r="H28" s="49">
        <f>Table35[[#This Row],[Burner (Pellet, wood,…) (€/MW)]]</f>
        <v>159344.35956200663</v>
      </c>
      <c r="I28" s="49">
        <f>'Fuel Prices excl. VAT'!B27</f>
        <v>3.8699999999999998E-2</v>
      </c>
      <c r="J28" s="49">
        <f>'Fuel Prices excl. VAT'!D27</f>
        <v>0.14949999999999999</v>
      </c>
      <c r="K28" s="49">
        <f>'Fuel Prices excl. VAT'!F27</f>
        <v>6.7473684210526311E-2</v>
      </c>
      <c r="L28" s="49">
        <f>'Fuel Prices excl. VAT'!H27</f>
        <v>4.4999999999999998E-2</v>
      </c>
      <c r="M28" s="49">
        <f t="shared" si="9"/>
        <v>0.1108</v>
      </c>
      <c r="N28" s="49">
        <f t="shared" si="0"/>
        <v>2.8773684210526312E-2</v>
      </c>
      <c r="O28" s="49">
        <f t="shared" si="1"/>
        <v>6.3E-3</v>
      </c>
      <c r="P28" s="49">
        <f>Table3[[#This Row],[Stove (€/MW)]]/'Utilisation by Sector'!$B$7</f>
        <v>51.06042148867779</v>
      </c>
      <c r="Q28" s="49">
        <f>Table3[[#This Row],[Electric Water heater (€/MW)]]/'Utilisation by Sector'!$C$7</f>
        <v>4.807532467532468</v>
      </c>
      <c r="R28" s="49">
        <f>Table3[[#This Row],[A/C (€/MW)]]/'Utilisation by Sector'!$D$7</f>
        <v>17.424068369417562</v>
      </c>
      <c r="S28" s="49">
        <f>Table3[[#This Row],[Other electric appliances (€/MW)]]/'Utilisation by Sector'!$E$7</f>
        <v>1.6746758703481395</v>
      </c>
      <c r="T28" s="49">
        <f>Table3[[#This Row],[Heat pumps (€/MW)]]/'Utilisation by Sector'!$F$7</f>
        <v>25.506985640828457</v>
      </c>
      <c r="U28" s="49">
        <f>Table3[[#This Row],[Oil Burner (€/MW)]]/'Utilisation by Sector'!$G$7</f>
        <v>1.908775183525008</v>
      </c>
      <c r="V28" s="49">
        <f>Table3[[#This Row],[Burner (Pellet, wood,…) (€/MW)]]/'Utilisation by Sector'!$H$7</f>
        <v>8.3689264475843821</v>
      </c>
      <c r="W28" s="49">
        <f t="shared" si="2"/>
        <v>161.86042148867779</v>
      </c>
      <c r="X28" s="130">
        <f t="shared" si="3"/>
        <v>115.60753246753247</v>
      </c>
      <c r="Y28" s="130">
        <f t="shared" si="4"/>
        <v>128.22406836941755</v>
      </c>
      <c r="Z28" s="130">
        <f t="shared" si="8"/>
        <v>112.47467587034814</v>
      </c>
      <c r="AA28" s="130">
        <f t="shared" si="5"/>
        <v>136.30698564082846</v>
      </c>
      <c r="AB28" s="130">
        <f t="shared" si="6"/>
        <v>30.682459394051321</v>
      </c>
      <c r="AC28" s="130">
        <f t="shared" si="7"/>
        <v>14.668926447584383</v>
      </c>
      <c r="AD28" s="130">
        <f>Table3[[#This Row],[UCM
Stove
(€/MWh)]]*'W.F. at Appliance Level'!B28</f>
        <v>161.86042148867779</v>
      </c>
      <c r="AE28" s="130">
        <f>Table3[[#This Row],[UCM
Electric water heater
(€/MWh)]]*'W.F. at Appliance Level'!C28</f>
        <v>115.60753246753247</v>
      </c>
      <c r="AF28" s="130">
        <f>Table3[[#This Row],[UCM
A/C
(€/MWh)]]*'W.F. at Appliance Level'!D28+Table3[[#This Row],[UCM
Other elecric appliances
(€/MWh)]]*'W.F. at Appliance Level'!E28+Table3[[#This Row],[UCM
heat pumps
(€/MWh)]]*'W.F. at Appliance Level'!F28+Table3[[#This Row],[UCM
Oil burner
(€/MWh) ]]*'W.F. at Appliance Level'!G28+Table3[[#This Row],[UCM
Pellet/Wood burner
(€/MWh)]]*'W.F. at Appliance Level'!H28</f>
        <v>84.471423144445978</v>
      </c>
      <c r="AG28" s="140">
        <f>Table3[[#This Row],[UCM for cooking
(€/MWh)]]*'W.F. End-use Level'!B29+Table3[[#This Row],[UCM for water heating
(€/MWh)]]*'W.F. End-use Level'!C29+Table3[[#This Row],[UCM for space heating
(€/MWh)]]*'W.F. End-use Level'!D29</f>
        <v>106.61160744566389</v>
      </c>
    </row>
    <row r="29" spans="1:33" ht="15.75" x14ac:dyDescent="0.25">
      <c r="A29" s="15" t="s">
        <v>27</v>
      </c>
      <c r="B29" s="50">
        <f>Table35[[#This Row],[Stove (€/MW)]]</f>
        <v>176567.86463454607</v>
      </c>
      <c r="C29" s="50">
        <f>Table35[[#This Row],[Electric Water heater (€/MW)]]</f>
        <v>46917.125</v>
      </c>
      <c r="D29" s="50">
        <f>Table35[[#This Row],[A/C (€/MW)]]</f>
        <v>266351.91505498672</v>
      </c>
      <c r="E29" s="50">
        <f>Table35[[#This Row],[Other electric appliances (€/MW)]]</f>
        <v>17933.14</v>
      </c>
      <c r="F29" s="50">
        <f>Table35[[#This Row],[Heat pumps (€/MW)]]</f>
        <v>408342.8571428571</v>
      </c>
      <c r="G29" s="50">
        <f>Table35[[#This Row],[Oil Burner (€/MW)]]</f>
        <v>43428.846153846149</v>
      </c>
      <c r="H29" s="50">
        <f>Table35[[#This Row],[Burner (Pellet, wood,…) (€/MW)]]</f>
        <v>190333.50874999998</v>
      </c>
      <c r="I29" s="50">
        <f>'Fuel Prices excl. VAT'!B28</f>
        <v>5.57E-2</v>
      </c>
      <c r="J29" s="50">
        <f>'Fuel Prices excl. VAT'!D28</f>
        <v>0.2031</v>
      </c>
      <c r="K29" s="50">
        <f>'Fuel Prices excl. VAT'!F28</f>
        <v>7.2763157894736849E-2</v>
      </c>
      <c r="L29" s="50">
        <f>'Fuel Prices excl. VAT'!H28</f>
        <v>5.5562500000000001E-2</v>
      </c>
      <c r="M29" s="50">
        <f t="shared" si="9"/>
        <v>0.1474</v>
      </c>
      <c r="N29" s="50">
        <f t="shared" si="0"/>
        <v>1.706315789473685E-2</v>
      </c>
      <c r="O29" s="50">
        <f t="shared" si="1"/>
        <v>-1.3749999999999873E-4</v>
      </c>
      <c r="P29" s="50">
        <f>Table3[[#This Row],[Stove (€/MW)]]/'Utilisation by Sector'!$B$7</f>
        <v>48.507655119380786</v>
      </c>
      <c r="Q29" s="50">
        <f>Table3[[#This Row],[Electric Water heater (€/MW)]]/'Utilisation by Sector'!$C$7</f>
        <v>12.889320054945054</v>
      </c>
      <c r="R29" s="50">
        <f>Table3[[#This Row],[A/C (€/MW)]]/'Utilisation by Sector'!$D$7</f>
        <v>27.97814233770869</v>
      </c>
      <c r="S29" s="50">
        <f>Table3[[#This Row],[Other electric appliances (€/MW)]]/'Utilisation by Sector'!$E$7</f>
        <v>2.691047418967587</v>
      </c>
      <c r="T29" s="50">
        <f>Table3[[#This Row],[Heat pumps (€/MW)]]/'Utilisation by Sector'!$F$7</f>
        <v>28.595438175270104</v>
      </c>
      <c r="U29" s="50">
        <f>Table3[[#This Row],[Oil Burner (€/MW)]]/'Utilisation by Sector'!$G$7</f>
        <v>2.2809267937944404</v>
      </c>
      <c r="V29" s="50">
        <f>Table3[[#This Row],[Burner (Pellet, wood,…) (€/MW)]]/'Utilisation by Sector'!$H$7</f>
        <v>9.9965078124999991</v>
      </c>
      <c r="W29" s="50">
        <f t="shared" si="2"/>
        <v>195.90765511938079</v>
      </c>
      <c r="X29" s="131">
        <f t="shared" si="3"/>
        <v>160.28932005494505</v>
      </c>
      <c r="Y29" s="131">
        <f t="shared" si="4"/>
        <v>175.37814233770871</v>
      </c>
      <c r="Z29" s="131">
        <f t="shared" si="8"/>
        <v>150.09104741896761</v>
      </c>
      <c r="AA29" s="131">
        <f t="shared" si="5"/>
        <v>175.99543817527012</v>
      </c>
      <c r="AB29" s="131">
        <f t="shared" si="6"/>
        <v>19.344084688531289</v>
      </c>
      <c r="AC29" s="131">
        <f t="shared" si="7"/>
        <v>9.8590078124999998</v>
      </c>
      <c r="AD29" s="131">
        <f>Table3[[#This Row],[UCM
Stove
(€/MWh)]]*'W.F. at Appliance Level'!B29</f>
        <v>195.90765511938079</v>
      </c>
      <c r="AE29" s="131">
        <f>Table3[[#This Row],[UCM
Electric water heater
(€/MWh)]]*'W.F. at Appliance Level'!C29</f>
        <v>160.28932005494505</v>
      </c>
      <c r="AF29" s="131">
        <f>Table3[[#This Row],[UCM
A/C
(€/MWh)]]*'W.F. at Appliance Level'!D29+Table3[[#This Row],[UCM
Other elecric appliances
(€/MWh)]]*'W.F. at Appliance Level'!E29+Table3[[#This Row],[UCM
heat pumps
(€/MWh)]]*'W.F. at Appliance Level'!F29+Table3[[#This Row],[UCM
Oil burner
(€/MWh) ]]*'W.F. at Appliance Level'!G29+Table3[[#This Row],[UCM
Pellet/Wood burner
(€/MWh)]]*'W.F. at Appliance Level'!H29</f>
        <v>106.13354408659555</v>
      </c>
      <c r="AG29" s="145">
        <f>Table3[[#This Row],[UCM for cooking
(€/MWh)]]*'W.F. End-use Level'!B30+Table3[[#This Row],[UCM for water heating
(€/MWh)]]*'W.F. End-use Level'!C30+Table3[[#This Row],[UCM for space heating
(€/MWh)]]*'W.F. End-use Level'!D30</f>
        <v>118.01922765810474</v>
      </c>
    </row>
    <row r="30" spans="1:33" x14ac:dyDescent="0.25">
      <c r="A30" s="55" t="s">
        <v>28</v>
      </c>
      <c r="B30" s="56">
        <f>AVERAGE(Table3[Stove (€/MW)])</f>
        <v>177513.83358529193</v>
      </c>
      <c r="C30" s="57">
        <f>AVERAGE(Table3[Electric Water heater (€/MW)])</f>
        <v>62329.7419998728</v>
      </c>
      <c r="D30" s="56">
        <f>AVERAGE(Table3[A/C (€/MW)])</f>
        <v>140848.5230711106</v>
      </c>
      <c r="E30" s="57">
        <f>AVERAGE(Table3[Other electric appliances (€/MW)])</f>
        <v>21540.090058244605</v>
      </c>
      <c r="F30" s="56">
        <f>AVERAGE(F15:F23,F27,F29,F13,F4:F10)</f>
        <v>364239.75495103037</v>
      </c>
      <c r="G30" s="57">
        <f>AVERAGE(G29,G27,G21:G25,G19,G17,G15,G13,G10,G8,G6,G4:G5)</f>
        <v>36343.079494316153</v>
      </c>
      <c r="H30" s="56">
        <f>AVERAGE(H27:H29,H23:H25,H13:H21,H5:H10)</f>
        <v>105171.75608498839</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9"/>
    </row>
    <row r="31" spans="1:33"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3" x14ac:dyDescent="0.3">
      <c r="I32" s="11"/>
      <c r="J32" s="11"/>
      <c r="K32" s="11"/>
      <c r="L32" s="11"/>
      <c r="M32" s="11"/>
      <c r="N32" s="11"/>
      <c r="O32" s="11"/>
      <c r="P32" s="11"/>
      <c r="Q32" s="11"/>
      <c r="R32" s="11"/>
      <c r="S32" s="11"/>
      <c r="T32" s="11"/>
      <c r="U32" s="11"/>
      <c r="V32" s="11"/>
      <c r="W32" s="11"/>
      <c r="X32" s="11"/>
      <c r="Y32" s="11"/>
      <c r="Z32" s="11"/>
      <c r="AA32" s="11"/>
      <c r="AB32" s="11"/>
      <c r="AC32" s="11"/>
      <c r="AD32" s="11"/>
      <c r="AE32" s="11"/>
      <c r="AF32" s="11"/>
    </row>
    <row r="33" spans="1:32" x14ac:dyDescent="0.3">
      <c r="I33" s="11"/>
      <c r="J33" s="11"/>
      <c r="K33" s="11"/>
      <c r="L33" s="11"/>
      <c r="M33" s="11"/>
      <c r="N33" s="11"/>
      <c r="O33" s="11"/>
      <c r="P33" s="11"/>
      <c r="Q33" s="11"/>
      <c r="R33" s="11"/>
      <c r="S33" s="11"/>
      <c r="T33" s="11"/>
      <c r="U33" s="11"/>
      <c r="V33" s="11"/>
      <c r="W33" s="11"/>
      <c r="X33" s="11"/>
      <c r="Y33" s="11"/>
      <c r="Z33" s="11"/>
      <c r="AA33" s="11"/>
      <c r="AB33" s="11"/>
      <c r="AC33" s="11"/>
      <c r="AD33" s="11"/>
      <c r="AE33" s="11"/>
      <c r="AF33" s="11"/>
    </row>
    <row r="34" spans="1:32" x14ac:dyDescent="0.3">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32" x14ac:dyDescent="0.3">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32"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32"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32"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sheetData>
  <mergeCells count="11">
    <mergeCell ref="A1:A2"/>
    <mergeCell ref="AG1:AG2"/>
    <mergeCell ref="W1:AC1"/>
    <mergeCell ref="Y2:AC2"/>
    <mergeCell ref="D2:H2"/>
    <mergeCell ref="I1:L2"/>
    <mergeCell ref="M1:O2"/>
    <mergeCell ref="P1:V1"/>
    <mergeCell ref="R2:V2"/>
    <mergeCell ref="AD1:AF2"/>
    <mergeCell ref="B1:H1"/>
  </mergeCells>
  <pageMargins left="0.7" right="0.7" top="0.75" bottom="0.75" header="0.3" footer="0.3"/>
  <pageSetup paperSize="9" orientation="portrait" horizontalDpi="4294967293" vertic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ACER_Abstract xmlns="985daa2e-53d8-4475-82b8-9c7d25324e34" xsi:nil="true"/>
    <_dlc_DocId xmlns="985daa2e-53d8-4475-82b8-9c7d25324e34">ACER-2018-83029</_dlc_DocId>
    <_dlc_DocIdUrl xmlns="985daa2e-53d8-4475-82b8-9c7d25324e34">
      <Url>http://extranet.acer.europa.eu/en/Gas/Infrastructure_development/_layouts/15/DocIdRedir.aspx?ID=ACER-2018-83029</Url>
      <Description>ACER-2018-83029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C57C3E339B564486D9727322F11FC7" ma:contentTypeVersion="21" ma:contentTypeDescription="Create a new document." ma:contentTypeScope="" ma:versionID="2074243200f2f7b250171e695eb01cab">
  <xsd:schema xmlns:xsd="http://www.w3.org/2001/XMLSchema" xmlns:xs="http://www.w3.org/2001/XMLSchema" xmlns:p="http://schemas.microsoft.com/office/2006/metadata/properties" xmlns:ns1="http://schemas.microsoft.com/sharepoint/v3" xmlns:ns2="985daa2e-53d8-4475-82b8-9c7d25324e34" targetNamespace="http://schemas.microsoft.com/office/2006/metadata/properties" ma:root="true" ma:fieldsID="0a699d11c941011f7685e52e6d423f17" ns1:_="" ns2:_="">
    <xsd:import namespace="http://schemas.microsoft.com/sharepoint/v3"/>
    <xsd:import namespace="985daa2e-53d8-4475-82b8-9c7d25324e34"/>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ACER_Abstrac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ACER_Abstract" ma:index="13" nillable="true" ma:displayName="Abstract" ma:description="" ma:internalName="ACER_Abstract">
      <xsd:simpleType>
        <xsd:restriction base="dms:Note">
          <xsd:maxLength value="255"/>
        </xsd:restriction>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69AF5B0E-BA80-471A-9A4F-A48899D219E0}"/>
</file>

<file path=customXml/itemProps2.xml><?xml version="1.0" encoding="utf-8"?>
<ds:datastoreItem xmlns:ds="http://schemas.openxmlformats.org/officeDocument/2006/customXml" ds:itemID="{D2E41C76-B8FA-48E7-A929-4FA2CF5B2072}"/>
</file>

<file path=customXml/itemProps3.xml><?xml version="1.0" encoding="utf-8"?>
<ds:datastoreItem xmlns:ds="http://schemas.openxmlformats.org/officeDocument/2006/customXml" ds:itemID="{221B2E6C-05AE-489C-8B0D-AE7EE1CEA3E1}"/>
</file>

<file path=customXml/itemProps4.xml><?xml version="1.0" encoding="utf-8"?>
<ds:datastoreItem xmlns:ds="http://schemas.openxmlformats.org/officeDocument/2006/customXml" ds:itemID="{F6D0BDCB-2BEE-44B8-9B7C-2F15A5FE05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16</vt:i4>
      </vt:variant>
    </vt:vector>
  </HeadingPairs>
  <TitlesOfParts>
    <vt:vector size="16" baseType="lpstr">
      <vt:lpstr>Introduction and Instructions</vt:lpstr>
      <vt:lpstr>Fuel Prices excl. VAT</vt:lpstr>
      <vt:lpstr>Appliance Prices</vt:lpstr>
      <vt:lpstr>Utilisation by Sector</vt:lpstr>
      <vt:lpstr>W.F. at Appliance Level</vt:lpstr>
      <vt:lpstr>W.F. End-use Level</vt:lpstr>
      <vt:lpstr>W.F. at Subsector Level</vt:lpstr>
      <vt:lpstr>W.F. at Sector Level</vt:lpstr>
      <vt:lpstr>UCM Residential</vt:lpstr>
      <vt:lpstr>UCM Services Protected</vt:lpstr>
      <vt:lpstr>UCM Services Non-Protected </vt:lpstr>
      <vt:lpstr>UCM Power</vt:lpstr>
      <vt:lpstr>fuel UCM Industrial</vt:lpstr>
      <vt:lpstr>feedstock UCM Industrial</vt:lpstr>
      <vt:lpstr>fuel UCM Sectors and MS</vt:lpstr>
      <vt:lpstr>Total UCM Sectors and MS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0x010100EFC57C3E339B564486D9727322F11FC7</vt:lpwstr>
  </property>
  <property fmtid="{D5CDD505-2E9C-101B-9397-08002B2CF9AE}" pid="3" name="_dlc_DocIdItemGuid">
    <vt:lpwstr>9923579a-7ce9-46ad-be8e-b6b99c72d831</vt:lpwstr>
  </property>
</Properties>
</file>